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charts/chart8.xml" ContentType="application/vnd.openxmlformats-officedocument.drawingml.chart+xml"/>
  <Override PartName="/xl/comments6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EstaPastaDeTrabalho"/>
  <xr:revisionPtr revIDLastSave="223" documentId="13_ncr:1_{05A57C87-D691-4546-BE69-853818EE0B71}" xr6:coauthVersionLast="47" xr6:coauthVersionMax="47" xr10:uidLastSave="{252A3454-E9A4-48A3-B80A-EC2A29E94D08}"/>
  <bookViews>
    <workbookView xWindow="-120" yWindow="-120" windowWidth="38640" windowHeight="15720" tabRatio="809" activeTab="1" xr2:uid="{00000000-000D-0000-FFFF-FFFF00000000}"/>
  </bookViews>
  <sheets>
    <sheet name="Disclaimer" sheetId="26" r:id="rId1"/>
    <sheet name="Dimensionamento" sheetId="4" r:id="rId2"/>
    <sheet name="Gomos" sheetId="2" r:id="rId3"/>
    <sheet name="Gabarito" sheetId="13" r:id="rId4"/>
    <sheet name="Vent Hole" sheetId="16" r:id="rId5"/>
    <sheet name="Cordins" sheetId="27" r:id="rId6"/>
    <sheet name="Escalas" sheetId="11" r:id="rId7"/>
  </sheets>
  <definedNames>
    <definedName name="chave">#REF!</definedName>
    <definedName name="ddddd">#REF!</definedName>
    <definedName name="dfff">#REF!</definedName>
    <definedName name="dia">#REF!</definedName>
    <definedName name="diam">#REF!</definedName>
    <definedName name="DIAMETER">#REF!</definedName>
    <definedName name="diametro">#REF!</definedName>
    <definedName name="EN">#REF!</definedName>
    <definedName name="ENE">#REF!</definedName>
    <definedName name="ENI">#REF!</definedName>
    <definedName name="ffe">#REF!</definedName>
    <definedName name="ffedd">#REF!</definedName>
    <definedName name="key">#REF!</definedName>
    <definedName name="KEYS">#REF!</definedName>
    <definedName name="N">#REF!</definedName>
    <definedName name="QUEI">#REF!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26" l="1"/>
  <c r="I18" i="27"/>
  <c r="AR7" i="27"/>
  <c r="AQ7" i="27"/>
  <c r="AP7" i="27"/>
  <c r="AP79" i="13"/>
  <c r="AQ14" i="2"/>
  <c r="AP14" i="2"/>
  <c r="AQ7" i="2"/>
  <c r="AP7" i="2"/>
  <c r="AU42" i="13"/>
  <c r="AU49" i="13"/>
  <c r="AU56" i="13"/>
  <c r="AU66" i="13"/>
  <c r="AU35" i="13"/>
  <c r="AU28" i="13"/>
  <c r="AU21" i="13"/>
  <c r="AU14" i="13"/>
  <c r="AU7" i="13"/>
  <c r="AR14" i="13"/>
  <c r="AR7" i="13"/>
  <c r="AV7" i="13"/>
  <c r="AV14" i="13"/>
  <c r="AV21" i="13"/>
  <c r="AR21" i="13"/>
  <c r="AR28" i="13"/>
  <c r="AV28" i="13"/>
  <c r="AV35" i="13"/>
  <c r="AR35" i="13"/>
  <c r="AR42" i="13"/>
  <c r="AV42" i="13"/>
  <c r="AV49" i="13"/>
  <c r="AR49" i="13"/>
  <c r="AR56" i="13"/>
  <c r="AV56" i="13"/>
  <c r="AV66" i="13"/>
  <c r="AR66" i="13"/>
  <c r="AR76" i="13"/>
  <c r="AQ76" i="13"/>
  <c r="AQ66" i="13"/>
  <c r="AQ56" i="13"/>
  <c r="AQ49" i="13"/>
  <c r="AQ42" i="13"/>
  <c r="AQ35" i="13"/>
  <c r="AQ28" i="13"/>
  <c r="AQ21" i="13"/>
  <c r="AQ14" i="13"/>
  <c r="AQ7" i="13"/>
  <c r="AV10" i="2"/>
  <c r="AU10" i="2"/>
  <c r="AZ14" i="2"/>
  <c r="AZ7" i="2"/>
  <c r="AY14" i="2"/>
  <c r="AY7" i="2"/>
  <c r="AT10" i="2"/>
  <c r="AV67" i="13"/>
  <c r="AR68" i="13"/>
  <c r="AR69" i="13"/>
  <c r="AR67" i="13"/>
  <c r="AF27" i="11"/>
  <c r="AF26" i="11"/>
  <c r="AE27" i="11"/>
  <c r="AE26" i="11"/>
  <c r="AL25" i="11"/>
  <c r="V27" i="11"/>
  <c r="V26" i="11"/>
  <c r="AC25" i="11"/>
  <c r="AE13" i="11"/>
  <c r="AE21" i="11"/>
  <c r="AE20" i="11"/>
  <c r="AE19" i="11"/>
  <c r="AE18" i="11"/>
  <c r="AE17" i="11"/>
  <c r="AE16" i="11"/>
  <c r="AE15" i="11"/>
  <c r="AE14" i="11"/>
  <c r="AK21" i="11"/>
  <c r="AK20" i="11"/>
  <c r="AK19" i="11"/>
  <c r="AK18" i="11"/>
  <c r="AK17" i="11"/>
  <c r="AK16" i="11"/>
  <c r="AK15" i="11"/>
  <c r="AK14" i="11"/>
  <c r="AL12" i="11"/>
  <c r="AF12" i="11"/>
  <c r="AI12" i="11"/>
  <c r="AZ8" i="2"/>
  <c r="Z12" i="11"/>
  <c r="AC12" i="11"/>
  <c r="W12" i="11"/>
  <c r="AB14" i="11"/>
  <c r="AB15" i="11"/>
  <c r="AB16" i="11"/>
  <c r="AB17" i="11"/>
  <c r="AB18" i="11"/>
  <c r="AB19" i="11"/>
  <c r="AB20" i="11"/>
  <c r="AB13" i="11"/>
  <c r="V14" i="11"/>
  <c r="V15" i="11"/>
  <c r="V16" i="11"/>
  <c r="V17" i="11"/>
  <c r="V18" i="11"/>
  <c r="V19" i="11"/>
  <c r="V20" i="11"/>
  <c r="V13" i="11"/>
  <c r="AL13" i="11"/>
  <c r="K20" i="11"/>
  <c r="H20" i="11"/>
  <c r="N20" i="11"/>
  <c r="BD13" i="4" l="1"/>
  <c r="BD14" i="4"/>
  <c r="BD15" i="4"/>
  <c r="BD16" i="4"/>
  <c r="BD17" i="4"/>
  <c r="BD18" i="4"/>
  <c r="BD19" i="4"/>
  <c r="BD20" i="4"/>
  <c r="BD21" i="4"/>
  <c r="BD12" i="4"/>
  <c r="E12" i="11"/>
  <c r="BE13" i="4"/>
  <c r="BE14" i="4"/>
  <c r="BE15" i="4"/>
  <c r="BE16" i="4"/>
  <c r="BE17" i="4"/>
  <c r="BE18" i="4"/>
  <c r="BE19" i="4"/>
  <c r="BE20" i="4"/>
  <c r="BE21" i="4"/>
  <c r="BE12" i="4"/>
  <c r="BB13" i="4"/>
  <c r="BB14" i="4"/>
  <c r="BB15" i="4"/>
  <c r="BB16" i="4"/>
  <c r="BB17" i="4"/>
  <c r="BB18" i="4"/>
  <c r="BB19" i="4"/>
  <c r="BB20" i="4"/>
  <c r="BB21" i="4"/>
  <c r="BB22" i="4"/>
  <c r="BB23" i="4"/>
  <c r="BB24" i="4"/>
  <c r="BB25" i="4"/>
  <c r="BB26" i="4"/>
  <c r="BB27" i="4"/>
  <c r="BB28" i="4"/>
  <c r="BB29" i="4"/>
  <c r="BB30" i="4"/>
  <c r="BB31" i="4"/>
  <c r="BB32" i="4"/>
  <c r="BB33" i="4"/>
  <c r="BB34" i="4"/>
  <c r="BB35" i="4"/>
  <c r="BB36" i="4"/>
  <c r="BB37" i="4"/>
  <c r="BB38" i="4"/>
  <c r="BB39" i="4"/>
  <c r="BB40" i="4"/>
  <c r="BB41" i="4"/>
  <c r="BB4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B12" i="4"/>
  <c r="BD22" i="4"/>
  <c r="AX42" i="4"/>
  <c r="AZ42" i="4" s="1"/>
  <c r="I42" i="4"/>
  <c r="I43" i="4" s="1"/>
  <c r="AX32" i="4" s="1"/>
  <c r="I22" i="4"/>
  <c r="I23" i="4"/>
  <c r="F35" i="4"/>
  <c r="I36" i="4"/>
  <c r="I37" i="4" s="1"/>
  <c r="I28" i="4"/>
  <c r="I29" i="4" s="1"/>
  <c r="AX33" i="4" l="1"/>
  <c r="AX34" i="4" s="1"/>
  <c r="AX35" i="4" s="1"/>
  <c r="AX36" i="4" s="1"/>
  <c r="AX37" i="4" s="1"/>
  <c r="AX38" i="4" s="1"/>
  <c r="AX39" i="4" s="1"/>
  <c r="AX40" i="4" s="1"/>
  <c r="AX41" i="4" s="1"/>
  <c r="AZ41" i="4" s="1"/>
  <c r="AY32" i="4"/>
  <c r="AY42" i="4"/>
  <c r="I38" i="4"/>
  <c r="I45" i="4" s="1"/>
  <c r="I16" i="4" s="1"/>
  <c r="AZ32" i="4"/>
  <c r="BA42" i="4"/>
  <c r="BC42" i="4" s="1"/>
  <c r="BA32" i="4"/>
  <c r="AX22" i="4"/>
  <c r="AY22" i="4" s="1"/>
  <c r="AX12" i="4"/>
  <c r="AY12" i="4" s="1"/>
  <c r="I44" i="4"/>
  <c r="I30" i="4"/>
  <c r="AZ37" i="4" l="1"/>
  <c r="BA41" i="4"/>
  <c r="BC41" i="4" s="1"/>
  <c r="AZ38" i="4"/>
  <c r="BA35" i="4"/>
  <c r="BC35" i="4" s="1"/>
  <c r="AZ39" i="4"/>
  <c r="AZ40" i="4"/>
  <c r="BA40" i="4"/>
  <c r="BC40" i="4" s="1"/>
  <c r="AY37" i="4"/>
  <c r="AY38" i="4"/>
  <c r="AY39" i="4"/>
  <c r="AZ35" i="4"/>
  <c r="AY40" i="4"/>
  <c r="AY41" i="4"/>
  <c r="AZ36" i="4"/>
  <c r="AY33" i="4"/>
  <c r="BA33" i="4"/>
  <c r="BC33" i="4" s="1"/>
  <c r="BA34" i="4"/>
  <c r="BC34" i="4" s="1"/>
  <c r="BA36" i="4"/>
  <c r="BC36" i="4" s="1"/>
  <c r="AY35" i="4"/>
  <c r="AZ34" i="4"/>
  <c r="AY34" i="4"/>
  <c r="BA37" i="4"/>
  <c r="BC37" i="4" s="1"/>
  <c r="BA38" i="4"/>
  <c r="BC38" i="4" s="1"/>
  <c r="BA39" i="4"/>
  <c r="BC39" i="4" s="1"/>
  <c r="AZ33" i="4"/>
  <c r="AY36" i="4"/>
  <c r="BC32" i="4"/>
  <c r="T13" i="4"/>
  <c r="AX23" i="4"/>
  <c r="AY23" i="4" s="1"/>
  <c r="BA22" i="4"/>
  <c r="AZ22" i="4"/>
  <c r="BA12" i="4"/>
  <c r="AZ12" i="4"/>
  <c r="BC22" i="4" l="1"/>
  <c r="BE27" i="4"/>
  <c r="BC12" i="4"/>
  <c r="BF12" i="4" s="1"/>
  <c r="BE22" i="4"/>
  <c r="BE30" i="4"/>
  <c r="BE32" i="4"/>
  <c r="BE31" i="4"/>
  <c r="BE34" i="4"/>
  <c r="BE33" i="4"/>
  <c r="BE23" i="4"/>
  <c r="BE42" i="4"/>
  <c r="T18" i="4"/>
  <c r="I15" i="16" s="1"/>
  <c r="BE38" i="4"/>
  <c r="BE29" i="4"/>
  <c r="BE26" i="4"/>
  <c r="BE28" i="4"/>
  <c r="BE25" i="4"/>
  <c r="BE37" i="4"/>
  <c r="BE35" i="4"/>
  <c r="BE24" i="4"/>
  <c r="BE41" i="4"/>
  <c r="BE40" i="4"/>
  <c r="BE39" i="4"/>
  <c r="BE36" i="4"/>
  <c r="AX24" i="4"/>
  <c r="AY24" i="4" s="1"/>
  <c r="BA23" i="4"/>
  <c r="AZ23" i="4"/>
  <c r="I22" i="27" l="1"/>
  <c r="I28" i="27" s="1"/>
  <c r="R38" i="16"/>
  <c r="AX24" i="16"/>
  <c r="BI14" i="4"/>
  <c r="BI34" i="4"/>
  <c r="BI54" i="4"/>
  <c r="BI74" i="4"/>
  <c r="BI81" i="4"/>
  <c r="BI101" i="4"/>
  <c r="BI15" i="4"/>
  <c r="BI35" i="4"/>
  <c r="BI55" i="4"/>
  <c r="BI82" i="4"/>
  <c r="BI102" i="4"/>
  <c r="BI16" i="4"/>
  <c r="BI36" i="4"/>
  <c r="BI56" i="4"/>
  <c r="BI83" i="4"/>
  <c r="BI103" i="4"/>
  <c r="BI17" i="4"/>
  <c r="BI37" i="4"/>
  <c r="BI57" i="4"/>
  <c r="BI84" i="4"/>
  <c r="BI104" i="4"/>
  <c r="BI8" i="4"/>
  <c r="BI9" i="4" s="1"/>
  <c r="BI18" i="4"/>
  <c r="BI38" i="4"/>
  <c r="BI58" i="4"/>
  <c r="BI85" i="4"/>
  <c r="BI105" i="4"/>
  <c r="BI12" i="4"/>
  <c r="BI19" i="4"/>
  <c r="BI39" i="4"/>
  <c r="BI59" i="4"/>
  <c r="BI86" i="4"/>
  <c r="BI106" i="4"/>
  <c r="BI20" i="4"/>
  <c r="BI40" i="4"/>
  <c r="BI60" i="4"/>
  <c r="BI87" i="4"/>
  <c r="BI44" i="4"/>
  <c r="BI71" i="4"/>
  <c r="BI92" i="4"/>
  <c r="BI118" i="4"/>
  <c r="BI73" i="4"/>
  <c r="BI13" i="4"/>
  <c r="BI47" i="4"/>
  <c r="BI21" i="4"/>
  <c r="BI96" i="4"/>
  <c r="BI50" i="4"/>
  <c r="BI98" i="4"/>
  <c r="BI24" i="4"/>
  <c r="BI99" i="4"/>
  <c r="BI25" i="4"/>
  <c r="BI52" i="4"/>
  <c r="BI26" i="4"/>
  <c r="BI53" i="4"/>
  <c r="BI107" i="4"/>
  <c r="BI27" i="4"/>
  <c r="BI75" i="4"/>
  <c r="BI108" i="4"/>
  <c r="BI29" i="4"/>
  <c r="BI63" i="4"/>
  <c r="BI77" i="4"/>
  <c r="BI110" i="4"/>
  <c r="BI78" i="4"/>
  <c r="BI111" i="4"/>
  <c r="BI65" i="4"/>
  <c r="BI79" i="4"/>
  <c r="BI32" i="4"/>
  <c r="BI66" i="4"/>
  <c r="BI113" i="4"/>
  <c r="BI88" i="4"/>
  <c r="BI41" i="4"/>
  <c r="BI89" i="4"/>
  <c r="BI69" i="4"/>
  <c r="BI91" i="4"/>
  <c r="BI45" i="4"/>
  <c r="BI72" i="4"/>
  <c r="BI93" i="4"/>
  <c r="BI46" i="4"/>
  <c r="BI94" i="4"/>
  <c r="BI95" i="4"/>
  <c r="BI48" i="4"/>
  <c r="BI22" i="4"/>
  <c r="BI49" i="4"/>
  <c r="BI97" i="4"/>
  <c r="BI23" i="4"/>
  <c r="BI51" i="4"/>
  <c r="BI100" i="4"/>
  <c r="BI64" i="4"/>
  <c r="BI31" i="4"/>
  <c r="BI112" i="4"/>
  <c r="BI33" i="4"/>
  <c r="BI68" i="4"/>
  <c r="BI42" i="4"/>
  <c r="BI90" i="4"/>
  <c r="BI43" i="4"/>
  <c r="BI70" i="4"/>
  <c r="BI5" i="4"/>
  <c r="BI6" i="4" s="1"/>
  <c r="BI61" i="4"/>
  <c r="BI28" i="4"/>
  <c r="BI62" i="4"/>
  <c r="BI76" i="4"/>
  <c r="BI109" i="4"/>
  <c r="BI30" i="4"/>
  <c r="BI80" i="4"/>
  <c r="BI67" i="4"/>
  <c r="BI114" i="4"/>
  <c r="BI115" i="4"/>
  <c r="BI116" i="4"/>
  <c r="BI117" i="4"/>
  <c r="BF38" i="4"/>
  <c r="BC23" i="4"/>
  <c r="BF23" i="4" s="1"/>
  <c r="BF32" i="4"/>
  <c r="BF36" i="4"/>
  <c r="BF22" i="4"/>
  <c r="BF33" i="4"/>
  <c r="BF39" i="4"/>
  <c r="BF41" i="4"/>
  <c r="BF37" i="4"/>
  <c r="BF35" i="4"/>
  <c r="BF42" i="4"/>
  <c r="BF34" i="4"/>
  <c r="BF40" i="4"/>
  <c r="T20" i="4"/>
  <c r="I25" i="2" s="1"/>
  <c r="AO22" i="16"/>
  <c r="AO42" i="16"/>
  <c r="AO62" i="16"/>
  <c r="AO23" i="16"/>
  <c r="AO43" i="16"/>
  <c r="AO63" i="16"/>
  <c r="AO24" i="16"/>
  <c r="AO44" i="16"/>
  <c r="AO64" i="16"/>
  <c r="AO30" i="16"/>
  <c r="AO50" i="16"/>
  <c r="AO11" i="16"/>
  <c r="AO71" i="16"/>
  <c r="AO32" i="16"/>
  <c r="AO33" i="16"/>
  <c r="AO53" i="16"/>
  <c r="AO37" i="16"/>
  <c r="AO19" i="16"/>
  <c r="AO52" i="16"/>
  <c r="AO73" i="16"/>
  <c r="AO38" i="16"/>
  <c r="AO12" i="16"/>
  <c r="AO13" i="16"/>
  <c r="AO17" i="16"/>
  <c r="AO57" i="16"/>
  <c r="AX25" i="16"/>
  <c r="AO25" i="16"/>
  <c r="AO45" i="16"/>
  <c r="AO65" i="16"/>
  <c r="AO6" i="16"/>
  <c r="AO26" i="16"/>
  <c r="AO46" i="16"/>
  <c r="AO66" i="16"/>
  <c r="AO7" i="16"/>
  <c r="AO27" i="16"/>
  <c r="AO47" i="16"/>
  <c r="AO67" i="16"/>
  <c r="AO8" i="16"/>
  <c r="AO28" i="16"/>
  <c r="AO48" i="16"/>
  <c r="AO68" i="16"/>
  <c r="I19" i="2"/>
  <c r="AO9" i="16"/>
  <c r="AO29" i="16"/>
  <c r="AO49" i="16"/>
  <c r="AO69" i="16"/>
  <c r="AO10" i="16"/>
  <c r="AO70" i="16"/>
  <c r="AO31" i="16"/>
  <c r="AO51" i="16"/>
  <c r="AO72" i="16"/>
  <c r="AO59" i="16"/>
  <c r="AO21" i="16"/>
  <c r="AO41" i="16"/>
  <c r="AO61" i="16"/>
  <c r="AO14" i="16"/>
  <c r="AO34" i="16"/>
  <c r="AO54" i="16"/>
  <c r="AO74" i="16"/>
  <c r="AO15" i="16"/>
  <c r="AO55" i="16"/>
  <c r="AO75" i="16"/>
  <c r="AO56" i="16"/>
  <c r="AO35" i="16"/>
  <c r="AO16" i="16"/>
  <c r="AO76" i="16"/>
  <c r="AO36" i="16"/>
  <c r="AO5" i="16"/>
  <c r="AO18" i="16"/>
  <c r="AO58" i="16"/>
  <c r="AZ4" i="16"/>
  <c r="AO39" i="16"/>
  <c r="AO20" i="16"/>
  <c r="AO40" i="16"/>
  <c r="AO60" i="16"/>
  <c r="AX25" i="4"/>
  <c r="AY25" i="4" s="1"/>
  <c r="BA24" i="4"/>
  <c r="AZ24" i="4"/>
  <c r="I56" i="4"/>
  <c r="I32" i="27" l="1"/>
  <c r="AQ10" i="27" s="1"/>
  <c r="AQ9" i="27" s="1"/>
  <c r="AO11" i="27"/>
  <c r="AP10" i="27"/>
  <c r="AR8" i="27"/>
  <c r="AX18" i="2"/>
  <c r="AY15" i="2"/>
  <c r="AY17" i="2"/>
  <c r="AY10" i="2"/>
  <c r="AP9" i="2"/>
  <c r="AP10" i="2"/>
  <c r="AO11" i="2" s="1"/>
  <c r="AT11" i="2"/>
  <c r="AV11" i="2" s="1"/>
  <c r="AT7" i="2"/>
  <c r="AY9" i="2"/>
  <c r="AY8" i="2"/>
  <c r="AX21" i="2"/>
  <c r="R39" i="16"/>
  <c r="BC24" i="4"/>
  <c r="BF24" i="4" s="1"/>
  <c r="AZ15" i="16"/>
  <c r="AT62" i="16"/>
  <c r="AT63" i="16"/>
  <c r="AT64" i="16"/>
  <c r="AT20" i="16"/>
  <c r="AT23" i="16"/>
  <c r="AT43" i="16"/>
  <c r="AT21" i="16"/>
  <c r="AT22" i="16"/>
  <c r="AT24" i="16"/>
  <c r="AT40" i="16"/>
  <c r="AT41" i="16"/>
  <c r="AT42" i="16"/>
  <c r="AT44" i="16"/>
  <c r="AT61" i="16"/>
  <c r="AT60" i="16"/>
  <c r="AT19" i="16"/>
  <c r="AT7" i="16"/>
  <c r="AT38" i="16"/>
  <c r="AT59" i="16"/>
  <c r="I16" i="16"/>
  <c r="AT57" i="16"/>
  <c r="AT39" i="16"/>
  <c r="AT18" i="16"/>
  <c r="AT76" i="16"/>
  <c r="AT58" i="16"/>
  <c r="AT5" i="16"/>
  <c r="AT36" i="16"/>
  <c r="AT37" i="16"/>
  <c r="AT17" i="16"/>
  <c r="AT35" i="16"/>
  <c r="AT56" i="16"/>
  <c r="AT16" i="16"/>
  <c r="AT54" i="16"/>
  <c r="AT55" i="16"/>
  <c r="AT75" i="16"/>
  <c r="AT33" i="16"/>
  <c r="AT74" i="16"/>
  <c r="AT15" i="16"/>
  <c r="AT72" i="16"/>
  <c r="AT14" i="16"/>
  <c r="AT34" i="16"/>
  <c r="AT32" i="16"/>
  <c r="AT73" i="16"/>
  <c r="AT53" i="16"/>
  <c r="AT71" i="16"/>
  <c r="AT13" i="16"/>
  <c r="AT52" i="16"/>
  <c r="AT51" i="16"/>
  <c r="AT12" i="16"/>
  <c r="AT11" i="16"/>
  <c r="AT70" i="16"/>
  <c r="AT31" i="16"/>
  <c r="AT50" i="16"/>
  <c r="AT30" i="16"/>
  <c r="AT66" i="16"/>
  <c r="AT10" i="16"/>
  <c r="AT69" i="16"/>
  <c r="AT46" i="16"/>
  <c r="AT29" i="16"/>
  <c r="AT49" i="16"/>
  <c r="AT26" i="16"/>
  <c r="AT68" i="16"/>
  <c r="AT9" i="16"/>
  <c r="AT6" i="16"/>
  <c r="AT48" i="16"/>
  <c r="AT67" i="16"/>
  <c r="AT65" i="16"/>
  <c r="AT28" i="16"/>
  <c r="AT47" i="16"/>
  <c r="AT45" i="16"/>
  <c r="AT8" i="16"/>
  <c r="AT27" i="16"/>
  <c r="AT25" i="16"/>
  <c r="AX26" i="4"/>
  <c r="AY26" i="4" s="1"/>
  <c r="BA25" i="4"/>
  <c r="AZ25" i="4"/>
  <c r="T13" i="27" l="1"/>
  <c r="AO12" i="27"/>
  <c r="AP9" i="27"/>
  <c r="AR9" i="27" s="1"/>
  <c r="AR10" i="27"/>
  <c r="AY16" i="2"/>
  <c r="AT12" i="2"/>
  <c r="BC25" i="4"/>
  <c r="BF25" i="4" s="1"/>
  <c r="AX27" i="4"/>
  <c r="AY27" i="4" s="1"/>
  <c r="BA26" i="4"/>
  <c r="AZ26" i="4"/>
  <c r="AT13" i="2" l="1"/>
  <c r="AT14" i="2" s="1"/>
  <c r="AV12" i="2"/>
  <c r="BC26" i="4"/>
  <c r="BF26" i="4" s="1"/>
  <c r="AX28" i="4"/>
  <c r="AY28" i="4" s="1"/>
  <c r="BA27" i="4"/>
  <c r="AZ27" i="4"/>
  <c r="AV14" i="2" l="1"/>
  <c r="AV13" i="2"/>
  <c r="AT15" i="2"/>
  <c r="BC27" i="4"/>
  <c r="BF27" i="4" s="1"/>
  <c r="AX29" i="4"/>
  <c r="AY29" i="4" s="1"/>
  <c r="BA28" i="4"/>
  <c r="AZ28" i="4"/>
  <c r="AV15" i="2" l="1"/>
  <c r="AT16" i="2"/>
  <c r="BC28" i="4"/>
  <c r="BF28" i="4" s="1"/>
  <c r="AX30" i="4"/>
  <c r="AY30" i="4" s="1"/>
  <c r="BA29" i="4"/>
  <c r="AZ29" i="4"/>
  <c r="AV16" i="2" l="1"/>
  <c r="AT17" i="2"/>
  <c r="BC29" i="4"/>
  <c r="BF29" i="4" s="1"/>
  <c r="AX31" i="4"/>
  <c r="AY31" i="4" s="1"/>
  <c r="BA30" i="4"/>
  <c r="AZ30" i="4"/>
  <c r="AV17" i="2" l="1"/>
  <c r="AT18" i="2"/>
  <c r="BC30" i="4"/>
  <c r="BF30" i="4" s="1"/>
  <c r="BA31" i="4"/>
  <c r="AZ31" i="4"/>
  <c r="AV18" i="2" l="1"/>
  <c r="AT19" i="2"/>
  <c r="BC31" i="4"/>
  <c r="BF31" i="4" s="1"/>
  <c r="AV19" i="2" l="1"/>
  <c r="AT20" i="2"/>
  <c r="I24" i="2"/>
  <c r="T19" i="4"/>
  <c r="I23" i="2" s="1"/>
  <c r="AV20" i="2" l="1"/>
  <c r="AT21" i="2"/>
  <c r="AU67" i="13"/>
  <c r="AU68" i="13" s="1"/>
  <c r="AU69" i="13" s="1"/>
  <c r="E13" i="11"/>
  <c r="E14" i="11"/>
  <c r="I31" i="2"/>
  <c r="I33" i="2" s="1"/>
  <c r="I32" i="2"/>
  <c r="AQ27" i="16"/>
  <c r="AQ29" i="16"/>
  <c r="AQ31" i="16"/>
  <c r="AQ28" i="16"/>
  <c r="AQ30" i="16"/>
  <c r="AZ5" i="16"/>
  <c r="AY8" i="16" s="1"/>
  <c r="AY9" i="16" s="1"/>
  <c r="AY10" i="16" s="1"/>
  <c r="AY11" i="16" s="1"/>
  <c r="AY12" i="16" s="1"/>
  <c r="AQ36" i="16"/>
  <c r="AQ76" i="16"/>
  <c r="AQ21" i="16"/>
  <c r="AQ37" i="16"/>
  <c r="AQ53" i="16"/>
  <c r="AQ69" i="16"/>
  <c r="AQ18" i="16"/>
  <c r="AQ50" i="16"/>
  <c r="AQ11" i="16"/>
  <c r="AQ46" i="16"/>
  <c r="AQ8" i="16"/>
  <c r="AQ23" i="16"/>
  <c r="AQ39" i="16"/>
  <c r="AQ55" i="16"/>
  <c r="AQ71" i="16"/>
  <c r="AQ20" i="16"/>
  <c r="AQ44" i="16"/>
  <c r="AQ72" i="16"/>
  <c r="AQ12" i="16"/>
  <c r="AQ59" i="16"/>
  <c r="AQ6" i="16"/>
  <c r="AQ13" i="16"/>
  <c r="AQ56" i="16"/>
  <c r="AQ14" i="16"/>
  <c r="AQ45" i="16"/>
  <c r="AQ61" i="16"/>
  <c r="AQ7" i="16"/>
  <c r="AQ34" i="16"/>
  <c r="AQ66" i="16"/>
  <c r="AQ62" i="16"/>
  <c r="AQ16" i="16"/>
  <c r="AQ47" i="16"/>
  <c r="AQ63" i="16"/>
  <c r="AQ68" i="16"/>
  <c r="AQ48" i="16"/>
  <c r="AQ10" i="16"/>
  <c r="AQ25" i="16"/>
  <c r="AQ41" i="16"/>
  <c r="AQ57" i="16"/>
  <c r="AQ73" i="16"/>
  <c r="AQ26" i="16"/>
  <c r="AQ58" i="16"/>
  <c r="AQ22" i="16"/>
  <c r="AQ54" i="16"/>
  <c r="AQ43" i="16"/>
  <c r="AQ75" i="16"/>
  <c r="AQ52" i="16"/>
  <c r="AQ9" i="16"/>
  <c r="AQ32" i="16"/>
  <c r="AQ60" i="16"/>
  <c r="AQ5" i="16"/>
  <c r="AQ24" i="16"/>
  <c r="AQ33" i="16"/>
  <c r="AQ15" i="16"/>
  <c r="AQ70" i="16"/>
  <c r="AQ67" i="16"/>
  <c r="AQ19" i="16"/>
  <c r="AQ17" i="16"/>
  <c r="AQ49" i="16"/>
  <c r="AQ74" i="16"/>
  <c r="AQ40" i="16"/>
  <c r="AQ65" i="16"/>
  <c r="AQ51" i="16"/>
  <c r="AQ42" i="16"/>
  <c r="AQ35" i="16"/>
  <c r="AQ38" i="16"/>
  <c r="AQ64" i="16"/>
  <c r="AV21" i="2" l="1"/>
  <c r="AT22" i="2"/>
  <c r="AL26" i="11"/>
  <c r="AL27" i="11"/>
  <c r="H25" i="11"/>
  <c r="W27" i="11"/>
  <c r="W26" i="11" s="1"/>
  <c r="AP10" i="16"/>
  <c r="AP62" i="16"/>
  <c r="AP13" i="16"/>
  <c r="AP12" i="16"/>
  <c r="AP71" i="16"/>
  <c r="AP8" i="16"/>
  <c r="AP18" i="16"/>
  <c r="AP21" i="16"/>
  <c r="AP30" i="16"/>
  <c r="AP38" i="16"/>
  <c r="AP65" i="16"/>
  <c r="AP17" i="16"/>
  <c r="AP15" i="16"/>
  <c r="AP32" i="16"/>
  <c r="AP43" i="16"/>
  <c r="AP26" i="16"/>
  <c r="AP25" i="16"/>
  <c r="AP16" i="16"/>
  <c r="AP7" i="16"/>
  <c r="AP56" i="16"/>
  <c r="AP6" i="16"/>
  <c r="AP44" i="16"/>
  <c r="AP39" i="16"/>
  <c r="AP11" i="16"/>
  <c r="AP53" i="16"/>
  <c r="AP36" i="16"/>
  <c r="AP29" i="16"/>
  <c r="AP35" i="16"/>
  <c r="AP40" i="16"/>
  <c r="AP19" i="16"/>
  <c r="AP33" i="16"/>
  <c r="AP9" i="16"/>
  <c r="AP54" i="16"/>
  <c r="AP73" i="16"/>
  <c r="AP68" i="16"/>
  <c r="AP61" i="16"/>
  <c r="AP59" i="16"/>
  <c r="AP20" i="16"/>
  <c r="AP23" i="16"/>
  <c r="AP50" i="16"/>
  <c r="AP37" i="16"/>
  <c r="AP27" i="16"/>
  <c r="AP42" i="16"/>
  <c r="AP74" i="16"/>
  <c r="AP67" i="16"/>
  <c r="AP24" i="16"/>
  <c r="AP5" i="16"/>
  <c r="AP52" i="16"/>
  <c r="AP22" i="16"/>
  <c r="AP57" i="16"/>
  <c r="AP48" i="16"/>
  <c r="AP63" i="16"/>
  <c r="AP66" i="16"/>
  <c r="AP45" i="16"/>
  <c r="AP64" i="16"/>
  <c r="AP51" i="16"/>
  <c r="AP49" i="16"/>
  <c r="AP70" i="16"/>
  <c r="AP60" i="16"/>
  <c r="AP75" i="16"/>
  <c r="AP58" i="16"/>
  <c r="AP41" i="16"/>
  <c r="AP47" i="16"/>
  <c r="AP34" i="16"/>
  <c r="AP14" i="16"/>
  <c r="AP72" i="16"/>
  <c r="AP55" i="16"/>
  <c r="AP46" i="16"/>
  <c r="AP69" i="16"/>
  <c r="AP76" i="16"/>
  <c r="AP28" i="16"/>
  <c r="AP31" i="16"/>
  <c r="I18" i="2"/>
  <c r="AX11" i="2" l="1"/>
  <c r="AZ10" i="2"/>
  <c r="AZ9" i="2" s="1"/>
  <c r="AQ17" i="2"/>
  <c r="AO18" i="2" s="1"/>
  <c r="AU11" i="2"/>
  <c r="AU12" i="2"/>
  <c r="AU14" i="2"/>
  <c r="AU13" i="2"/>
  <c r="AU15" i="2"/>
  <c r="AU16" i="2"/>
  <c r="AU17" i="2"/>
  <c r="AU18" i="2"/>
  <c r="AU19" i="2"/>
  <c r="AU20" i="2"/>
  <c r="AU21" i="2"/>
  <c r="AU22" i="2"/>
  <c r="AV22" i="2"/>
  <c r="AT23" i="2"/>
  <c r="AX20" i="2"/>
  <c r="AQ16" i="2" l="1"/>
  <c r="AV23" i="2"/>
  <c r="AU23" i="2"/>
  <c r="AT24" i="2"/>
  <c r="AZ16" i="16"/>
  <c r="AY19" i="16" s="1"/>
  <c r="AY20" i="16" s="1"/>
  <c r="AY21" i="16" s="1"/>
  <c r="AY22" i="16" s="1"/>
  <c r="AV24" i="2" l="1"/>
  <c r="AU24" i="2"/>
  <c r="AT25" i="2"/>
  <c r="AU30" i="16"/>
  <c r="AV30" i="16"/>
  <c r="AV19" i="16"/>
  <c r="AU19" i="16"/>
  <c r="AU50" i="16"/>
  <c r="AV50" i="16"/>
  <c r="AU21" i="16"/>
  <c r="AV21" i="16"/>
  <c r="AV10" i="16"/>
  <c r="AU10" i="16"/>
  <c r="AV69" i="16"/>
  <c r="AU69" i="16"/>
  <c r="AV34" i="16"/>
  <c r="AU34" i="16"/>
  <c r="AV29" i="16"/>
  <c r="AU29" i="16"/>
  <c r="AU22" i="16"/>
  <c r="AV22" i="16"/>
  <c r="AU68" i="16"/>
  <c r="AV68" i="16"/>
  <c r="AV57" i="16"/>
  <c r="AU57" i="16"/>
  <c r="AU52" i="16"/>
  <c r="AV52" i="16"/>
  <c r="AU66" i="16"/>
  <c r="AV66" i="16"/>
  <c r="AV55" i="16"/>
  <c r="AU55" i="16"/>
  <c r="AU35" i="16"/>
  <c r="AV35" i="16"/>
  <c r="AV60" i="16"/>
  <c r="AU60" i="16"/>
  <c r="AV40" i="16"/>
  <c r="AU40" i="16"/>
  <c r="AV49" i="16"/>
  <c r="AU49" i="16"/>
  <c r="AV59" i="16"/>
  <c r="AU59" i="16"/>
  <c r="AV73" i="16"/>
  <c r="AU73" i="16"/>
  <c r="AV53" i="16"/>
  <c r="AU53" i="16"/>
  <c r="AV38" i="16"/>
  <c r="AU38" i="16"/>
  <c r="AV18" i="16"/>
  <c r="AU18" i="16"/>
  <c r="AV28" i="16"/>
  <c r="AU28" i="16"/>
  <c r="AV25" i="16"/>
  <c r="AU25" i="16"/>
  <c r="AV67" i="16"/>
  <c r="AU67" i="16"/>
  <c r="AV37" i="16"/>
  <c r="AU37" i="16"/>
  <c r="AV27" i="16"/>
  <c r="AU27" i="16"/>
  <c r="AU76" i="16"/>
  <c r="AV76" i="16"/>
  <c r="AV36" i="16"/>
  <c r="AU36" i="16"/>
  <c r="AV46" i="16"/>
  <c r="AU46" i="16"/>
  <c r="AU9" i="16"/>
  <c r="AV9" i="16"/>
  <c r="AV58" i="16"/>
  <c r="AU58" i="16"/>
  <c r="AV65" i="16"/>
  <c r="AU65" i="16"/>
  <c r="AV33" i="16"/>
  <c r="AU33" i="16"/>
  <c r="AV13" i="16"/>
  <c r="AU13" i="16"/>
  <c r="AV8" i="16"/>
  <c r="AU8" i="16"/>
  <c r="AU72" i="16"/>
  <c r="AV72" i="16"/>
  <c r="AV64" i="16"/>
  <c r="AU64" i="16"/>
  <c r="AV17" i="16"/>
  <c r="AU17" i="16"/>
  <c r="AU7" i="16"/>
  <c r="AV7" i="16"/>
  <c r="AU71" i="16"/>
  <c r="AV71" i="16"/>
  <c r="AV43" i="16"/>
  <c r="AU43" i="16"/>
  <c r="AU23" i="16"/>
  <c r="AV23" i="16"/>
  <c r="AV16" i="16"/>
  <c r="AU16" i="16"/>
  <c r="AV31" i="16"/>
  <c r="AU31" i="16"/>
  <c r="AU26" i="16"/>
  <c r="AV26" i="16"/>
  <c r="AU70" i="16"/>
  <c r="AV70" i="16"/>
  <c r="AV42" i="16"/>
  <c r="AU42" i="16"/>
  <c r="AV15" i="16"/>
  <c r="AU15" i="16"/>
  <c r="AV74" i="16"/>
  <c r="AU74" i="16"/>
  <c r="AU54" i="16"/>
  <c r="AV54" i="16"/>
  <c r="AU20" i="16"/>
  <c r="AV20" i="16"/>
  <c r="AV14" i="16"/>
  <c r="AU14" i="16"/>
  <c r="AU39" i="16"/>
  <c r="AV39" i="16"/>
  <c r="AV61" i="16"/>
  <c r="AU61" i="16"/>
  <c r="AV48" i="16"/>
  <c r="AU48" i="16"/>
  <c r="AV45" i="16"/>
  <c r="AU45" i="16"/>
  <c r="AU5" i="16"/>
  <c r="AV5" i="16"/>
  <c r="AV62" i="16"/>
  <c r="AU62" i="16"/>
  <c r="AV47" i="16"/>
  <c r="AU47" i="16"/>
  <c r="AV44" i="16"/>
  <c r="AU44" i="16"/>
  <c r="AV32" i="16"/>
  <c r="AU32" i="16"/>
  <c r="AV24" i="16"/>
  <c r="AU24" i="16"/>
  <c r="AU12" i="16"/>
  <c r="AV12" i="16"/>
  <c r="AU63" i="16"/>
  <c r="AV63" i="16"/>
  <c r="AV56" i="16"/>
  <c r="AU56" i="16"/>
  <c r="AV51" i="16"/>
  <c r="AU51" i="16"/>
  <c r="AV41" i="16"/>
  <c r="AU41" i="16"/>
  <c r="AV75" i="16"/>
  <c r="AU75" i="16"/>
  <c r="AU11" i="16"/>
  <c r="AV11" i="16"/>
  <c r="AV6" i="16"/>
  <c r="AU6" i="16"/>
  <c r="AU25" i="2" l="1"/>
  <c r="AV25" i="2"/>
  <c r="AT26" i="2"/>
  <c r="AU26" i="2" l="1"/>
  <c r="AV26" i="2"/>
  <c r="AT27" i="2"/>
  <c r="AX13" i="4"/>
  <c r="AY13" i="4" s="1"/>
  <c r="AU27" i="2" l="1"/>
  <c r="AV27" i="2"/>
  <c r="AT28" i="2"/>
  <c r="AX14" i="4"/>
  <c r="AY14" i="4" s="1"/>
  <c r="AZ13" i="4"/>
  <c r="BA13" i="4"/>
  <c r="AU28" i="2" l="1"/>
  <c r="AV28" i="2"/>
  <c r="AT29" i="2"/>
  <c r="BC13" i="4"/>
  <c r="BF13" i="4" s="1"/>
  <c r="AX15" i="4"/>
  <c r="AY15" i="4" s="1"/>
  <c r="AZ14" i="4"/>
  <c r="BA14" i="4"/>
  <c r="AU29" i="2" l="1"/>
  <c r="AV29" i="2"/>
  <c r="AT30" i="2"/>
  <c r="BC14" i="4"/>
  <c r="BF14" i="4" s="1"/>
  <c r="AX16" i="4"/>
  <c r="AY16" i="4" s="1"/>
  <c r="BA15" i="4"/>
  <c r="AZ15" i="4"/>
  <c r="AV30" i="2" l="1"/>
  <c r="AU30" i="2"/>
  <c r="AT31" i="2"/>
  <c r="BC15" i="4"/>
  <c r="BF15" i="4" s="1"/>
  <c r="AX17" i="4"/>
  <c r="AY17" i="4" s="1"/>
  <c r="BA16" i="4"/>
  <c r="AZ16" i="4"/>
  <c r="AV31" i="2" l="1"/>
  <c r="AU31" i="2"/>
  <c r="AT32" i="2"/>
  <c r="BC16" i="4"/>
  <c r="BF16" i="4" s="1"/>
  <c r="AX18" i="4"/>
  <c r="AY18" i="4" s="1"/>
  <c r="BA17" i="4"/>
  <c r="AZ17" i="4"/>
  <c r="AV32" i="2" l="1"/>
  <c r="AU32" i="2"/>
  <c r="AT33" i="2"/>
  <c r="BL15" i="4"/>
  <c r="BL35" i="4"/>
  <c r="BL55" i="4"/>
  <c r="BL16" i="4"/>
  <c r="BL36" i="4"/>
  <c r="BL56" i="4"/>
  <c r="BL17" i="4"/>
  <c r="BL37" i="4"/>
  <c r="BL57" i="4"/>
  <c r="BL18" i="4"/>
  <c r="BL38" i="4"/>
  <c r="BL58" i="4"/>
  <c r="BL19" i="4"/>
  <c r="BL39" i="4"/>
  <c r="BL59" i="4"/>
  <c r="BL20" i="4"/>
  <c r="BL40" i="4"/>
  <c r="BL60" i="4"/>
  <c r="BL44" i="4"/>
  <c r="BL70" i="4"/>
  <c r="BL45" i="4"/>
  <c r="BL14" i="4"/>
  <c r="BL12" i="4"/>
  <c r="BL21" i="4"/>
  <c r="BL47" i="4"/>
  <c r="BL8" i="4"/>
  <c r="BL9" i="4" s="1"/>
  <c r="BL48" i="4"/>
  <c r="BL23" i="4"/>
  <c r="BL50" i="4"/>
  <c r="BL25" i="4"/>
  <c r="BL26" i="4"/>
  <c r="BL27" i="4"/>
  <c r="BL53" i="4"/>
  <c r="BL54" i="4"/>
  <c r="BL30" i="4"/>
  <c r="BL32" i="4"/>
  <c r="BL65" i="4"/>
  <c r="BL66" i="4"/>
  <c r="BL67" i="4"/>
  <c r="BL42" i="4"/>
  <c r="BL43" i="4"/>
  <c r="BL13" i="4"/>
  <c r="BL71" i="4"/>
  <c r="BL46" i="4"/>
  <c r="BL5" i="4"/>
  <c r="BL6" i="4" s="1"/>
  <c r="BL22" i="4"/>
  <c r="BL49" i="4"/>
  <c r="BL24" i="4"/>
  <c r="BL51" i="4"/>
  <c r="BL52" i="4"/>
  <c r="BL62" i="4"/>
  <c r="BL63" i="4"/>
  <c r="BL64" i="4"/>
  <c r="BL34" i="4"/>
  <c r="BL41" i="4"/>
  <c r="BL68" i="4"/>
  <c r="BL28" i="4"/>
  <c r="BL29" i="4"/>
  <c r="BL61" i="4"/>
  <c r="BL31" i="4"/>
  <c r="BL33" i="4"/>
  <c r="BL69" i="4"/>
  <c r="BC17" i="4"/>
  <c r="BF17" i="4" s="1"/>
  <c r="AX19" i="4"/>
  <c r="AY19" i="4" s="1"/>
  <c r="BA18" i="4"/>
  <c r="AZ18" i="4"/>
  <c r="AU33" i="2" l="1"/>
  <c r="AV33" i="2"/>
  <c r="AT34" i="2"/>
  <c r="BC18" i="4"/>
  <c r="BF18" i="4" s="1"/>
  <c r="AX20" i="4"/>
  <c r="AY20" i="4" s="1"/>
  <c r="BA19" i="4"/>
  <c r="AZ19" i="4"/>
  <c r="AU34" i="2" l="1"/>
  <c r="AV34" i="2"/>
  <c r="AT35" i="2"/>
  <c r="BC19" i="4"/>
  <c r="BF19" i="4" s="1"/>
  <c r="AX21" i="4"/>
  <c r="AY21" i="4" s="1"/>
  <c r="BA20" i="4"/>
  <c r="AZ20" i="4"/>
  <c r="AU35" i="2" l="1"/>
  <c r="AV35" i="2"/>
  <c r="AT36" i="2"/>
  <c r="BC20" i="4"/>
  <c r="BF20" i="4" s="1"/>
  <c r="BA21" i="4"/>
  <c r="AZ21" i="4"/>
  <c r="AU36" i="2" l="1"/>
  <c r="AV36" i="2"/>
  <c r="AT37" i="2"/>
  <c r="BC21" i="4"/>
  <c r="BF21" i="4" s="1"/>
  <c r="AU37" i="2" l="1"/>
  <c r="AV37" i="2"/>
  <c r="AT38" i="2"/>
  <c r="BO18" i="4"/>
  <c r="BO33" i="4"/>
  <c r="BO53" i="4"/>
  <c r="BO8" i="4"/>
  <c r="BO9" i="4" s="1"/>
  <c r="BO13" i="4"/>
  <c r="BO34" i="4"/>
  <c r="BO54" i="4"/>
  <c r="BO12" i="4"/>
  <c r="BO14" i="4"/>
  <c r="BO35" i="4"/>
  <c r="BO55" i="4"/>
  <c r="BO15" i="4"/>
  <c r="BO36" i="4"/>
  <c r="BO56" i="4"/>
  <c r="BO16" i="4"/>
  <c r="BO37" i="4"/>
  <c r="BO57" i="4"/>
  <c r="BO17" i="4"/>
  <c r="BO38" i="4"/>
  <c r="BO58" i="4"/>
  <c r="BO19" i="4"/>
  <c r="BO39" i="4"/>
  <c r="BO59" i="4"/>
  <c r="BO5" i="4"/>
  <c r="BO6" i="4" s="1"/>
  <c r="BO42" i="4"/>
  <c r="BO69" i="4"/>
  <c r="BO71" i="4"/>
  <c r="BO45" i="4"/>
  <c r="BO47" i="4"/>
  <c r="BO21" i="4"/>
  <c r="BO49" i="4"/>
  <c r="BO23" i="4"/>
  <c r="BO51" i="4"/>
  <c r="BO61" i="4"/>
  <c r="BO62" i="4"/>
  <c r="BO63" i="4"/>
  <c r="BO31" i="4"/>
  <c r="BO67" i="4"/>
  <c r="BO68" i="4"/>
  <c r="BO43" i="4"/>
  <c r="BO70" i="4"/>
  <c r="BO44" i="4"/>
  <c r="BO46" i="4"/>
  <c r="BO20" i="4"/>
  <c r="BO48" i="4"/>
  <c r="BO22" i="4"/>
  <c r="BO50" i="4"/>
  <c r="BO27" i="4"/>
  <c r="BO24" i="4"/>
  <c r="BO52" i="4"/>
  <c r="BO60" i="4"/>
  <c r="BO64" i="4"/>
  <c r="BO65" i="4"/>
  <c r="BO66" i="4"/>
  <c r="BO40" i="4"/>
  <c r="BO41" i="4"/>
  <c r="BO25" i="4"/>
  <c r="BO26" i="4"/>
  <c r="BO28" i="4"/>
  <c r="BO29" i="4"/>
  <c r="BO30" i="4"/>
  <c r="BO32" i="4"/>
  <c r="T12" i="11"/>
  <c r="T19" i="11"/>
  <c r="T18" i="11"/>
  <c r="AU47" i="13" s="1"/>
  <c r="AU48" i="13" s="1"/>
  <c r="T17" i="11"/>
  <c r="AU40" i="13" s="1"/>
  <c r="AU41" i="13" s="1"/>
  <c r="T16" i="11"/>
  <c r="AU33" i="13" s="1"/>
  <c r="AU34" i="13" s="1"/>
  <c r="T15" i="11"/>
  <c r="AU26" i="13" s="1"/>
  <c r="AU27" i="13" s="1"/>
  <c r="T14" i="11"/>
  <c r="AU19" i="13" s="1"/>
  <c r="AU20" i="13" s="1"/>
  <c r="T13" i="11"/>
  <c r="Q18" i="11"/>
  <c r="Q15" i="11"/>
  <c r="Q13" i="11"/>
  <c r="Q14" i="11"/>
  <c r="Q19" i="11"/>
  <c r="Q17" i="11"/>
  <c r="Q12" i="11"/>
  <c r="Q16" i="11"/>
  <c r="AU38" i="2" l="1"/>
  <c r="AV38" i="2"/>
  <c r="AT39" i="2"/>
  <c r="Q21" i="11"/>
  <c r="AU54" i="13"/>
  <c r="AU55" i="13" s="1"/>
  <c r="Z17" i="11"/>
  <c r="W17" i="11" s="1"/>
  <c r="AQ33" i="13"/>
  <c r="AQ34" i="13" s="1"/>
  <c r="AQ37" i="13" s="1"/>
  <c r="AQ38" i="13" s="1"/>
  <c r="Z13" i="11"/>
  <c r="AQ5" i="13"/>
  <c r="Z18" i="11"/>
  <c r="AQ40" i="13"/>
  <c r="AQ41" i="13" s="1"/>
  <c r="AQ44" i="13" s="1"/>
  <c r="AQ45" i="13" s="1"/>
  <c r="Z20" i="11"/>
  <c r="AI21" i="11" s="1"/>
  <c r="AF21" i="11" s="1"/>
  <c r="AQ54" i="13"/>
  <c r="AQ55" i="13" s="1"/>
  <c r="AQ58" i="13" s="1"/>
  <c r="AQ59" i="13" s="1"/>
  <c r="Z15" i="11"/>
  <c r="AQ19" i="13"/>
  <c r="AQ20" i="13" s="1"/>
  <c r="AQ23" i="13" s="1"/>
  <c r="AQ24" i="13" s="1"/>
  <c r="Z14" i="11"/>
  <c r="AQ12" i="13"/>
  <c r="AQ13" i="13" s="1"/>
  <c r="AQ16" i="13" s="1"/>
  <c r="AQ17" i="13" s="1"/>
  <c r="Z16" i="11"/>
  <c r="AI17" i="11" s="1"/>
  <c r="AQ26" i="13"/>
  <c r="AQ27" i="13" s="1"/>
  <c r="AQ30" i="13" s="1"/>
  <c r="AQ31" i="13" s="1"/>
  <c r="Z19" i="11"/>
  <c r="AI20" i="11" s="1"/>
  <c r="AQ47" i="13"/>
  <c r="AQ48" i="13" s="1"/>
  <c r="AQ51" i="13" s="1"/>
  <c r="AQ52" i="13" s="1"/>
  <c r="AU12" i="13"/>
  <c r="AC13" i="11"/>
  <c r="AR10" i="13" s="1"/>
  <c r="AU5" i="13"/>
  <c r="T21" i="11"/>
  <c r="AU39" i="2" l="1"/>
  <c r="AV39" i="2"/>
  <c r="AT40" i="2"/>
  <c r="AQ61" i="13"/>
  <c r="AQ78" i="13"/>
  <c r="AQ77" i="13"/>
  <c r="AI15" i="11"/>
  <c r="AF15" i="11" s="1"/>
  <c r="W15" i="11"/>
  <c r="AC14" i="11"/>
  <c r="AR17" i="13" s="1"/>
  <c r="W13" i="11"/>
  <c r="AI13" i="11"/>
  <c r="AI19" i="11"/>
  <c r="AF19" i="11" s="1"/>
  <c r="AR8" i="13"/>
  <c r="W20" i="11"/>
  <c r="W18" i="11"/>
  <c r="AI14" i="11"/>
  <c r="AI18" i="11"/>
  <c r="AF18" i="11" s="1"/>
  <c r="AV10" i="13"/>
  <c r="AI16" i="11"/>
  <c r="AF16" i="11" s="1"/>
  <c r="W14" i="11"/>
  <c r="AU61" i="13"/>
  <c r="AV68" i="13" s="1"/>
  <c r="W16" i="11"/>
  <c r="AF17" i="11"/>
  <c r="AF20" i="11"/>
  <c r="AV9" i="13"/>
  <c r="AR9" i="13"/>
  <c r="AV8" i="13"/>
  <c r="W19" i="11"/>
  <c r="AU6" i="13"/>
  <c r="AV15" i="13"/>
  <c r="AU13" i="13"/>
  <c r="AV22" i="13"/>
  <c r="AV23" i="13" s="1"/>
  <c r="AV24" i="13" s="1"/>
  <c r="AV29" i="13" s="1"/>
  <c r="AV30" i="13" s="1"/>
  <c r="AV31" i="13" s="1"/>
  <c r="AV36" i="13" s="1"/>
  <c r="AV37" i="13" s="1"/>
  <c r="AV38" i="13" s="1"/>
  <c r="AV43" i="13" s="1"/>
  <c r="AV44" i="13" s="1"/>
  <c r="AV45" i="13" s="1"/>
  <c r="AV50" i="13" s="1"/>
  <c r="AV51" i="13" s="1"/>
  <c r="AV52" i="13" s="1"/>
  <c r="AV57" i="13" s="1"/>
  <c r="AV58" i="13" s="1"/>
  <c r="AV59" i="13" s="1"/>
  <c r="AQ6" i="13"/>
  <c r="AU40" i="2" l="1"/>
  <c r="AV40" i="2"/>
  <c r="AT41" i="2"/>
  <c r="AU71" i="13"/>
  <c r="AV69" i="13"/>
  <c r="AQ71" i="13"/>
  <c r="AQ69" i="13"/>
  <c r="AQ67" i="13" s="1"/>
  <c r="AQ9" i="13"/>
  <c r="AQ10" i="13" s="1"/>
  <c r="AL15" i="11"/>
  <c r="AR15" i="13"/>
  <c r="AC15" i="11"/>
  <c r="AR24" i="13" s="1"/>
  <c r="AR16" i="13"/>
  <c r="AF13" i="11"/>
  <c r="AF14" i="11"/>
  <c r="AV16" i="13"/>
  <c r="AV17" i="13" s="1"/>
  <c r="AV41" i="2" l="1"/>
  <c r="AU41" i="2"/>
  <c r="AT42" i="2"/>
  <c r="AC16" i="11"/>
  <c r="AC17" i="11" s="1"/>
  <c r="AC18" i="11" s="1"/>
  <c r="AC19" i="11" s="1"/>
  <c r="AC20" i="11" s="1"/>
  <c r="AL21" i="11" s="1"/>
  <c r="AR23" i="13"/>
  <c r="AL16" i="11"/>
  <c r="AR22" i="13"/>
  <c r="AV42" i="2" l="1"/>
  <c r="AU42" i="2"/>
  <c r="AT43" i="2"/>
  <c r="AR31" i="13"/>
  <c r="AR37" i="13"/>
  <c r="AR36" i="13"/>
  <c r="AR59" i="13"/>
  <c r="AR30" i="13"/>
  <c r="AR45" i="13"/>
  <c r="AR43" i="13"/>
  <c r="AR57" i="13"/>
  <c r="AL19" i="11"/>
  <c r="AL17" i="11"/>
  <c r="AR29" i="13"/>
  <c r="AL20" i="11"/>
  <c r="AR44" i="13"/>
  <c r="AR50" i="13"/>
  <c r="AR38" i="13"/>
  <c r="AR58" i="13"/>
  <c r="AR51" i="13"/>
  <c r="AR52" i="13"/>
  <c r="AL18" i="11"/>
  <c r="AU43" i="2" l="1"/>
  <c r="AV43" i="2"/>
  <c r="AT44" i="2"/>
  <c r="AU44" i="2" l="1"/>
  <c r="AV44" i="2"/>
  <c r="AT45" i="2"/>
  <c r="AU45" i="2" l="1"/>
  <c r="AV45" i="2"/>
  <c r="AT46" i="2"/>
  <c r="AU46" i="2" l="1"/>
  <c r="AV46" i="2"/>
  <c r="AT47" i="2"/>
  <c r="AU47" i="2" l="1"/>
  <c r="AV47" i="2"/>
  <c r="AT48" i="2"/>
  <c r="AU48" i="2" l="1"/>
  <c r="AV48" i="2"/>
  <c r="AT49" i="2"/>
  <c r="AU49" i="2" l="1"/>
  <c r="AV49" i="2"/>
  <c r="AT50" i="2"/>
  <c r="AU50" i="2" l="1"/>
  <c r="AV50" i="2"/>
  <c r="AT51" i="2"/>
  <c r="AV51" i="2" l="1"/>
  <c r="AU51" i="2"/>
  <c r="AT52" i="2"/>
  <c r="AV52" i="2" l="1"/>
  <c r="AU52" i="2"/>
  <c r="AT53" i="2"/>
  <c r="AU53" i="2" l="1"/>
  <c r="AV53" i="2"/>
  <c r="AT54" i="2"/>
  <c r="AU54" i="2" l="1"/>
  <c r="AV54" i="2"/>
  <c r="AT55" i="2"/>
  <c r="AU55" i="2" l="1"/>
  <c r="AV55" i="2"/>
  <c r="AT56" i="2"/>
  <c r="AU56" i="2" l="1"/>
  <c r="AV56" i="2"/>
  <c r="AT57" i="2"/>
  <c r="AU57" i="2" l="1"/>
  <c r="AV57" i="2"/>
  <c r="AT58" i="2"/>
  <c r="AU58" i="2" l="1"/>
  <c r="AV58" i="2"/>
  <c r="AT59" i="2"/>
  <c r="AU59" i="2" l="1"/>
  <c r="AV59" i="2"/>
  <c r="AT60" i="2"/>
  <c r="AU60" i="2" l="1"/>
  <c r="AV60" i="2"/>
  <c r="AT61" i="2"/>
  <c r="AU61" i="2" l="1"/>
  <c r="AV61" i="2"/>
  <c r="AT62" i="2"/>
  <c r="AU62" i="2" l="1"/>
  <c r="AV62" i="2"/>
  <c r="AT63" i="2"/>
  <c r="AV63" i="2" l="1"/>
  <c r="AU63" i="2"/>
  <c r="AT64" i="2"/>
  <c r="AU64" i="2" l="1"/>
  <c r="AV64" i="2"/>
  <c r="AT65" i="2"/>
  <c r="AV65" i="2" l="1"/>
  <c r="AU65" i="2"/>
  <c r="AT66" i="2"/>
  <c r="AV66" i="2" l="1"/>
  <c r="AU66" i="2"/>
  <c r="AT67" i="2"/>
  <c r="AU67" i="2" l="1"/>
  <c r="AV67" i="2"/>
  <c r="AT68" i="2"/>
  <c r="AV68" i="2" l="1"/>
  <c r="AU68" i="2"/>
  <c r="AT69" i="2"/>
  <c r="AV69" i="2" l="1"/>
  <c r="AU69" i="2"/>
  <c r="AT70" i="2"/>
  <c r="AV70" i="2" l="1"/>
  <c r="AU70" i="2"/>
  <c r="AT71" i="2"/>
  <c r="AU71" i="2" l="1"/>
  <c r="AV71" i="2"/>
  <c r="AT72" i="2"/>
  <c r="AV72" i="2" l="1"/>
  <c r="AU72" i="2"/>
  <c r="AT73" i="2"/>
  <c r="AU73" i="2" l="1"/>
  <c r="AV73" i="2"/>
  <c r="AT74" i="2"/>
  <c r="AU74" i="2" l="1"/>
  <c r="AV74" i="2"/>
  <c r="AT75" i="2"/>
  <c r="AU75" i="2" l="1"/>
  <c r="AV75" i="2"/>
  <c r="AT76" i="2"/>
  <c r="AU76" i="2" l="1"/>
  <c r="AV76" i="2"/>
  <c r="AT77" i="2"/>
  <c r="AU77" i="2" l="1"/>
  <c r="AV77" i="2"/>
  <c r="AT78" i="2"/>
  <c r="AU78" i="2" l="1"/>
  <c r="AV78" i="2"/>
  <c r="AT79" i="2"/>
  <c r="AU79" i="2" l="1"/>
  <c r="AV79" i="2"/>
  <c r="AT80" i="2"/>
  <c r="AU80" i="2" l="1"/>
  <c r="AV80" i="2"/>
  <c r="AT81" i="2"/>
  <c r="AU81" i="2" l="1"/>
  <c r="AV81" i="2"/>
  <c r="AT82" i="2"/>
  <c r="AU82" i="2" l="1"/>
  <c r="AV82" i="2"/>
  <c r="AT83" i="2"/>
  <c r="AU83" i="2" l="1"/>
  <c r="AV83" i="2"/>
  <c r="AT84" i="2"/>
  <c r="AU84" i="2" l="1"/>
  <c r="AV84" i="2"/>
  <c r="AT85" i="2"/>
  <c r="AU85" i="2" l="1"/>
  <c r="AV85" i="2"/>
  <c r="AT86" i="2"/>
  <c r="AU86" i="2" l="1"/>
  <c r="AV86" i="2"/>
  <c r="AT87" i="2"/>
  <c r="AU87" i="2" l="1"/>
  <c r="AV87" i="2"/>
  <c r="AT88" i="2"/>
  <c r="AV88" i="2" l="1"/>
  <c r="AU88" i="2"/>
  <c r="AT89" i="2"/>
  <c r="AU89" i="2" l="1"/>
  <c r="AV89" i="2"/>
  <c r="AT90" i="2"/>
  <c r="AU90" i="2" l="1"/>
  <c r="AV90" i="2"/>
  <c r="AT91" i="2"/>
  <c r="AU91" i="2" l="1"/>
  <c r="AV91" i="2"/>
  <c r="AT92" i="2"/>
  <c r="AV92" i="2" l="1"/>
  <c r="AU92" i="2"/>
  <c r="AT93" i="2"/>
  <c r="AU93" i="2" l="1"/>
  <c r="AV93" i="2"/>
  <c r="AT94" i="2"/>
  <c r="AU94" i="2" l="1"/>
  <c r="AV94" i="2"/>
  <c r="AT95" i="2"/>
  <c r="AU95" i="2" l="1"/>
  <c r="AV95" i="2"/>
  <c r="AT96" i="2"/>
  <c r="AU96" i="2" l="1"/>
  <c r="AV96" i="2"/>
  <c r="AT97" i="2"/>
  <c r="AU97" i="2" l="1"/>
  <c r="AV97" i="2"/>
  <c r="AT98" i="2"/>
  <c r="AU98" i="2" l="1"/>
  <c r="AV98" i="2"/>
  <c r="AT99" i="2"/>
  <c r="AU99" i="2" l="1"/>
  <c r="AV99" i="2"/>
  <c r="AT100" i="2"/>
  <c r="AU100" i="2" l="1"/>
  <c r="AV100" i="2"/>
  <c r="AT101" i="2"/>
  <c r="AU101" i="2" l="1"/>
  <c r="AV101" i="2"/>
  <c r="AT102" i="2"/>
  <c r="AV102" i="2" l="1"/>
  <c r="AU102" i="2"/>
  <c r="AT103" i="2"/>
  <c r="AV103" i="2" l="1"/>
  <c r="AU103" i="2"/>
  <c r="AT104" i="2"/>
  <c r="AV104" i="2" l="1"/>
  <c r="AU104" i="2"/>
  <c r="AT105" i="2"/>
  <c r="AV105" i="2" l="1"/>
  <c r="AU105" i="2"/>
  <c r="AT106" i="2"/>
  <c r="AV106" i="2" l="1"/>
  <c r="AU106" i="2"/>
  <c r="AT107" i="2"/>
  <c r="AU107" i="2" l="1"/>
  <c r="AV107" i="2"/>
  <c r="AT108" i="2"/>
  <c r="AU108" i="2" l="1"/>
  <c r="AV108" i="2"/>
  <c r="AT109" i="2"/>
  <c r="AU109" i="2" l="1"/>
  <c r="AV109" i="2"/>
  <c r="AT110" i="2"/>
  <c r="AV110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33" authorId="0" shapeId="0" xr:uid="{D69114B3-5586-444B-96A1-0401C82D940E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Forma de referenciar em publicações.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13" authorId="0" shapeId="0" xr:uid="{296FFCAA-AA7F-42DA-B575-3F2A409D4BA4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NO CASO DE FOGUETES:</t>
        </r>
        <r>
          <rPr>
            <sz val="9"/>
            <color indexed="81"/>
            <rFont val="Segoe UI"/>
            <family val="2"/>
          </rPr>
          <t xml:space="preserve"> É a massa do foguete ou do estágio no momento da implantação do paraquedas, ou seja, após todo o propelente útil ser queimado.
</t>
        </r>
        <r>
          <rPr>
            <i/>
            <sz val="9"/>
            <color indexed="81"/>
            <rFont val="Segoe UI"/>
            <family val="2"/>
          </rPr>
          <t xml:space="preserve">É necessário subtrair a massa de propelente da massa total do foguete ou do estágio para encontrar a sua massa seca.
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 xml:space="preserve">NO CASO DE PAYLOADS: </t>
        </r>
        <r>
          <rPr>
            <sz val="9"/>
            <color indexed="81"/>
            <rFont val="Segoe UI"/>
            <family val="2"/>
          </rPr>
          <t xml:space="preserve">Já se a carga for um </t>
        </r>
        <r>
          <rPr>
            <i/>
            <sz val="9"/>
            <color indexed="81"/>
            <rFont val="Segoe UI"/>
            <family val="2"/>
          </rPr>
          <t>CanSat</t>
        </r>
        <r>
          <rPr>
            <sz val="9"/>
            <color indexed="81"/>
            <rFont val="Segoe UI"/>
            <family val="2"/>
          </rPr>
          <t xml:space="preserve">, </t>
        </r>
        <r>
          <rPr>
            <i/>
            <sz val="9"/>
            <color indexed="81"/>
            <rFont val="Segoe UI"/>
            <family val="2"/>
          </rPr>
          <t>CubeSat</t>
        </r>
        <r>
          <rPr>
            <sz val="9"/>
            <color indexed="81"/>
            <rFont val="Segoe UI"/>
            <family val="2"/>
          </rPr>
          <t xml:space="preserve"> ou outro tipo de </t>
        </r>
        <r>
          <rPr>
            <i/>
            <sz val="9"/>
            <color indexed="81"/>
            <rFont val="Segoe UI"/>
            <family val="2"/>
          </rPr>
          <t>payload</t>
        </r>
        <r>
          <rPr>
            <sz val="9"/>
            <color indexed="81"/>
            <rFont val="Segoe UI"/>
            <family val="2"/>
          </rPr>
          <t>, considera-se a massa que esse corpo possui no momento da abertura do paraquedas.</t>
        </r>
      </text>
    </comment>
    <comment ref="N13" authorId="0" shapeId="0" xr:uid="{B39DAA77-D500-40AE-BBE7-9F1447CC2915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No processo de cálculo do </t>
        </r>
        <r>
          <rPr>
            <b/>
            <sz val="9"/>
            <color indexed="81"/>
            <rFont val="Segoe UI"/>
            <family val="2"/>
          </rPr>
          <t>diâmetro</t>
        </r>
        <r>
          <rPr>
            <sz val="9"/>
            <color indexed="81"/>
            <rFont val="Segoe UI"/>
            <family val="2"/>
          </rPr>
          <t xml:space="preserve">, a </t>
        </r>
        <r>
          <rPr>
            <b/>
            <sz val="9"/>
            <color indexed="81"/>
            <rFont val="Segoe UI"/>
            <family val="2"/>
          </rPr>
          <t xml:space="preserve">área de referência </t>
        </r>
        <r>
          <rPr>
            <sz val="9"/>
            <color indexed="81"/>
            <rFont val="Segoe UI"/>
            <family val="2"/>
          </rPr>
          <t>será:</t>
        </r>
        <r>
          <rPr>
            <b/>
            <sz val="9"/>
            <color indexed="81"/>
            <rFont val="Segoe UI"/>
            <family val="2"/>
          </rPr>
          <t xml:space="preserve">
• </t>
        </r>
        <r>
          <rPr>
            <sz val="9"/>
            <color indexed="81"/>
            <rFont val="Segoe UI"/>
            <family val="2"/>
          </rPr>
          <t>A</t>
        </r>
        <r>
          <rPr>
            <b/>
            <sz val="9"/>
            <color indexed="81"/>
            <rFont val="Segoe UI"/>
            <family val="2"/>
          </rPr>
          <t xml:space="preserve"> Área Projetada </t>
        </r>
        <r>
          <rPr>
            <sz val="9"/>
            <color indexed="81"/>
            <rFont val="Segoe UI"/>
            <family val="2"/>
          </rPr>
          <t>do velame, se for utilizado o Cd de ~1,5;</t>
        </r>
        <r>
          <rPr>
            <b/>
            <sz val="9"/>
            <color indexed="81"/>
            <rFont val="Segoe UI"/>
            <family val="2"/>
          </rPr>
          <t xml:space="preserve">
• </t>
        </r>
        <r>
          <rPr>
            <sz val="9"/>
            <color indexed="81"/>
            <rFont val="Segoe UI"/>
            <family val="2"/>
          </rPr>
          <t>A</t>
        </r>
        <r>
          <rPr>
            <b/>
            <sz val="9"/>
            <color indexed="81"/>
            <rFont val="Segoe UI"/>
            <family val="2"/>
          </rPr>
          <t xml:space="preserve"> Área Molhada </t>
        </r>
        <r>
          <rPr>
            <sz val="9"/>
            <color indexed="81"/>
            <rFont val="Segoe UI"/>
            <family val="2"/>
          </rPr>
          <t>do velame, se for utilizado o Cd de ~0,92.</t>
        </r>
        <r>
          <rPr>
            <b/>
            <sz val="9"/>
            <color indexed="81"/>
            <rFont val="Segoe UI"/>
            <family val="2"/>
          </rPr>
          <t xml:space="preserve">
</t>
        </r>
        <r>
          <rPr>
            <i/>
            <sz val="10"/>
            <color indexed="81"/>
            <rFont val="Segoe UI"/>
            <family val="2"/>
          </rPr>
          <t>Na metodologia da planilha é utilizada a área projetada.</t>
        </r>
      </text>
    </comment>
    <comment ref="C14" authorId="0" shapeId="0" xr:uid="{1E9DE97D-4978-43E9-88C1-E464BA08A08D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Cd do elemento que está sendo recuperado.
</t>
        </r>
        <r>
          <rPr>
            <i/>
            <sz val="9"/>
            <color indexed="81"/>
            <rFont val="Segoe UI"/>
            <family val="2"/>
          </rPr>
          <t>Se não souber, deixar ~0,7 para um minifoguete.</t>
        </r>
      </text>
    </comment>
    <comment ref="C16" authorId="0" shapeId="0" xr:uid="{1AC01449-D99D-49E7-B2B7-C1B19BB46D89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Peso do elemento recuperado quando sob efeito da aceleração da gravidade no ponto de projeto (gpp).</t>
        </r>
      </text>
    </comment>
    <comment ref="C18" authorId="0" shapeId="0" xr:uid="{7A8E6FB4-3EF3-4A17-9504-BD18F68BA28B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A Altitude </t>
        </r>
        <r>
          <rPr>
            <i/>
            <sz val="9"/>
            <color indexed="81"/>
            <rFont val="Segoe UI"/>
            <family val="2"/>
          </rPr>
          <t xml:space="preserve">(ASL: Above Sea Level) </t>
        </r>
        <r>
          <rPr>
            <sz val="9"/>
            <color indexed="81"/>
            <rFont val="Segoe UI"/>
            <family val="2"/>
          </rPr>
          <t xml:space="preserve">é medida em relação ao nível do mar, sendo este a cota 0 m.
</t>
        </r>
        <r>
          <rPr>
            <b/>
            <sz val="9"/>
            <color indexed="81"/>
            <rFont val="Segoe UI"/>
            <family val="2"/>
          </rPr>
          <t xml:space="preserve">NO CASO DE FOGUETES: </t>
        </r>
        <r>
          <rPr>
            <sz val="9"/>
            <color indexed="81"/>
            <rFont val="Segoe UI"/>
            <family val="2"/>
          </rPr>
          <t xml:space="preserve">O ponto no solo é a localização da Rampa de Lançamento;
</t>
        </r>
        <r>
          <rPr>
            <b/>
            <sz val="9"/>
            <color indexed="81"/>
            <rFont val="Segoe UI"/>
            <family val="2"/>
          </rPr>
          <t xml:space="preserve">
NO CASO DE PAYLOADS LANÇADAS DO AR:</t>
        </r>
        <r>
          <rPr>
            <sz val="9"/>
            <color indexed="81"/>
            <rFont val="Segoe UI"/>
            <family val="2"/>
          </rPr>
          <t xml:space="preserve"> O ponto no solo é a localização do ponto de</t>
        </r>
        <r>
          <rPr>
            <i/>
            <sz val="9"/>
            <color indexed="81"/>
            <rFont val="Segoe UI"/>
            <family val="2"/>
          </rPr>
          <t xml:space="preserve"> touchdown</t>
        </r>
        <r>
          <rPr>
            <sz val="9"/>
            <color indexed="81"/>
            <rFont val="Segoe UI"/>
            <family val="2"/>
          </rPr>
          <t xml:space="preserve">.
</t>
        </r>
      </text>
    </comment>
    <comment ref="N18" authorId="0" shapeId="0" xr:uid="{F094CCE5-48E7-4355-8CB6-DFDEAD2DB92C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>É o diâmetro da área projetada, no caso, um círculo.
d = Raiz(4 Ar/π)</t>
        </r>
      </text>
    </comment>
    <comment ref="N19" authorId="0" shapeId="0" xr:uid="{00000000-0006-0000-0100-000006000000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Circunferência = 2 π r</t>
        </r>
      </text>
    </comment>
    <comment ref="N20" authorId="0" shapeId="0" xr:uid="{9FCF4CC8-1E5C-4312-ACB1-4E3C22B292D7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Amol = a² x 5,1
sendo a = d/2</t>
        </r>
      </text>
    </comment>
    <comment ref="C21" authorId="0" shapeId="0" xr:uid="{E9F241B7-9B49-4FE1-AF7C-313433A6EEAB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Informe a latitude em formato de </t>
        </r>
        <r>
          <rPr>
            <b/>
            <sz val="9"/>
            <color indexed="81"/>
            <rFont val="Segoe UI"/>
            <family val="2"/>
          </rPr>
          <t>Graus Decimais</t>
        </r>
        <r>
          <rPr>
            <sz val="9"/>
            <color indexed="81"/>
            <rFont val="Segoe UI"/>
            <family val="2"/>
          </rPr>
          <t xml:space="preserve"> (DD).
• Valores negativos indicam que o local se encontra no Hemisfério Sul do globo;
• Para encontrar a latitude do local, utilize o google maps (clique no local no mapa).</t>
        </r>
      </text>
    </comment>
    <comment ref="C22" authorId="0" shapeId="0" xr:uid="{6EF341F5-D7E4-4D4B-9043-4CCD20DB5378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Calculado utilizando a altitude do local de lançamento/pouso.</t>
        </r>
      </text>
    </comment>
    <comment ref="C23" authorId="0" shapeId="0" xr:uid="{159DE790-5F46-4AAF-9F01-F8970D4661FE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Calculado com a </t>
        </r>
        <r>
          <rPr>
            <i/>
            <sz val="9"/>
            <color indexed="81"/>
            <rFont val="Segoe UI"/>
            <family val="2"/>
          </rPr>
          <t>Fórmula Internacional da Gravidade</t>
        </r>
        <r>
          <rPr>
            <sz val="9"/>
            <color indexed="81"/>
            <rFont val="Segoe UI"/>
            <family val="2"/>
          </rPr>
          <t xml:space="preserve"> utilizando:
• Altitude: do local de lançamento/pouso;
• Latitude: do local de lançamento/pouso.</t>
        </r>
      </text>
    </comment>
    <comment ref="C27" authorId="0" shapeId="0" xr:uid="{0B657075-BAFE-4325-9E85-EBEAD0F881B0}">
      <text>
        <r>
          <rPr>
            <b/>
            <sz val="9"/>
            <color indexed="81"/>
            <rFont val="Segoe UI"/>
            <family val="2"/>
          </rPr>
          <t xml:space="preserve">Mateus Vieira:
NO CASO DE FOGUETES: </t>
        </r>
        <r>
          <rPr>
            <sz val="9"/>
            <color indexed="81"/>
            <rFont val="Segoe UI"/>
            <family val="2"/>
          </rPr>
          <t>É a altura máxima (acima do solo) atingida pelo foguete após a decolagem (AGL);</t>
        </r>
        <r>
          <rPr>
            <b/>
            <sz val="9"/>
            <color indexed="81"/>
            <rFont val="Segoe UI"/>
            <family val="2"/>
          </rPr>
          <t xml:space="preserve">
NO CASO DE PAYLOADS: </t>
        </r>
        <r>
          <rPr>
            <sz val="9"/>
            <color indexed="81"/>
            <rFont val="Segoe UI"/>
            <family val="2"/>
          </rPr>
          <t>É a altura (acima do solo) da qual a carga é lançada (AGL).</t>
        </r>
      </text>
    </comment>
    <comment ref="C28" authorId="0" shapeId="0" xr:uid="{7A2C9DC8-2C35-421D-A2BD-AFA9BA98B80C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Tranforma a altura do apogeu em altitude.
 ZH = Altitude do solo (Zsolo) + Altura do apogeu (H)</t>
        </r>
      </text>
    </comment>
    <comment ref="C29" authorId="0" shapeId="0" xr:uid="{19465236-98DB-471F-8284-2ABFDE520B84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Calculado utilizando a altitude do apogeu.</t>
        </r>
      </text>
    </comment>
    <comment ref="C30" authorId="0" shapeId="0" xr:uid="{3D1497BE-BBD8-4807-AC9A-C4AFCCAD0601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Calculado com a </t>
        </r>
        <r>
          <rPr>
            <i/>
            <sz val="9"/>
            <color indexed="81"/>
            <rFont val="Segoe UI"/>
            <family val="2"/>
          </rPr>
          <t>Fórmula Internacional da Gravidade</t>
        </r>
        <r>
          <rPr>
            <sz val="9"/>
            <color indexed="81"/>
            <rFont val="Segoe UI"/>
            <family val="2"/>
          </rPr>
          <t xml:space="preserve"> utilizando:
• Altitude: do apogeu;
• Latitude: do local de lançamento/pouso.</t>
        </r>
      </text>
    </comment>
    <comment ref="C34" authorId="0" shapeId="0" xr:uid="{0A9A4D4A-38C7-41A8-A268-6967AB828B35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É a altura (acima do solo) em que ocorrerá a abertura do paraquedas (AGL).</t>
        </r>
      </text>
    </comment>
    <comment ref="C36" authorId="0" shapeId="0" xr:uid="{0E76EAED-1CFA-4D19-9B64-215785A478A3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Transforma a altura do ponto de implantação em altitude.
 ZImp = Altitude do solo (Zsolo) + Altura do ponto de implantação (HImp)</t>
        </r>
      </text>
    </comment>
    <comment ref="C37" authorId="0" shapeId="0" xr:uid="{81DC0EDD-428E-4E1C-89B4-70D40F034508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Calculado com a altitude do ponto de implantação.</t>
        </r>
      </text>
    </comment>
    <comment ref="C38" authorId="0" shapeId="0" xr:uid="{A6AC6DB5-7B33-4E2D-962A-E09AEB9D4D35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Calculado com a</t>
        </r>
        <r>
          <rPr>
            <i/>
            <sz val="9"/>
            <color indexed="81"/>
            <rFont val="Segoe UI"/>
            <family val="2"/>
          </rPr>
          <t xml:space="preserve"> Fórmula Internacional da Gravidade</t>
        </r>
        <r>
          <rPr>
            <sz val="9"/>
            <color indexed="81"/>
            <rFont val="Segoe UI"/>
            <family val="2"/>
          </rPr>
          <t xml:space="preserve"> utilizando:
• Altitude: do ponto de implantação;
• Latitude: do local de lançamento/pouso.</t>
        </r>
      </text>
    </comment>
    <comment ref="C40" authorId="0" shapeId="0" xr:uid="{5C9135B5-C64B-4099-A5C5-4D0156A321D8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O Ponto de Projeto (PP) é o </t>
        </r>
        <r>
          <rPr>
            <b/>
            <sz val="9"/>
            <color indexed="81"/>
            <rFont val="Segoe UI"/>
            <family val="2"/>
          </rPr>
          <t>ponto médio</t>
        </r>
        <r>
          <rPr>
            <sz val="9"/>
            <color indexed="81"/>
            <rFont val="Segoe UI"/>
            <family val="2"/>
          </rPr>
          <t xml:space="preserve"> entre a </t>
        </r>
        <r>
          <rPr>
            <b/>
            <sz val="9"/>
            <color indexed="81"/>
            <rFont val="Segoe UI"/>
            <family val="2"/>
          </rPr>
          <t>altura de impantação</t>
        </r>
        <r>
          <rPr>
            <sz val="9"/>
            <color indexed="81"/>
            <rFont val="Segoe UI"/>
            <family val="2"/>
          </rPr>
          <t xml:space="preserve"> do paraquedas e o </t>
        </r>
        <r>
          <rPr>
            <b/>
            <sz val="9"/>
            <color indexed="81"/>
            <rFont val="Segoe UI"/>
            <family val="2"/>
          </rPr>
          <t>solo</t>
        </r>
        <r>
          <rPr>
            <sz val="9"/>
            <color indexed="81"/>
            <rFont val="Segoe UI"/>
            <family val="2"/>
          </rPr>
          <t xml:space="preserve">.
É no Ponto de Projeto que a velocidade terminal desejada deverá ser atingida. 
No PP temos as condições médias:
• ρpp = [ρRL + ρImp] / 2 ;
• gpp = [ρRL + ρImp] / 2 .
que servirão para resolução da equação que define a área do velame.
</t>
        </r>
        <r>
          <rPr>
            <i/>
            <sz val="9"/>
            <color indexed="81"/>
            <rFont val="Segoe UI"/>
            <family val="2"/>
          </rPr>
          <t>Nota:
Os valores médios acima são os mesmos valores que chegaríamos se calculássemos ρ e g diretamente para a altitude do ponto médio em metros.</t>
        </r>
      </text>
    </comment>
    <comment ref="D42" authorId="0" shapeId="0" xr:uid="{78A616D7-4C12-43D6-BFDF-945BA4E19A19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Ponto médio entre o ponto de implantação e o solo.
É a altura (AGL) em que a condição </t>
        </r>
        <r>
          <rPr>
            <b/>
            <sz val="9"/>
            <color indexed="81"/>
            <rFont val="Segoe UI"/>
            <family val="2"/>
          </rPr>
          <t>V=Vt</t>
        </r>
        <r>
          <rPr>
            <sz val="9"/>
            <color indexed="81"/>
            <rFont val="Segoe UI"/>
            <family val="2"/>
          </rPr>
          <t xml:space="preserve"> é atingida, por isso, esse é o </t>
        </r>
        <r>
          <rPr>
            <b/>
            <i/>
            <sz val="9"/>
            <color indexed="81"/>
            <rFont val="Segoe UI"/>
            <family val="2"/>
          </rPr>
          <t>ponto de projeto</t>
        </r>
        <r>
          <rPr>
            <sz val="9"/>
            <color indexed="81"/>
            <rFont val="Segoe UI"/>
            <family val="2"/>
          </rPr>
          <t>.</t>
        </r>
      </text>
    </comment>
    <comment ref="D43" authorId="0" shapeId="0" xr:uid="{B9347479-FAC3-413F-B92B-073625FABA0A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Transforma a altura do ponto de projeto em altitude.
 Zpp = Altitude do solo (Zsolo) + Altura do ponto de projeto (Hpp)</t>
        </r>
      </text>
    </comment>
    <comment ref="D44" authorId="0" shapeId="0" xr:uid="{59192BD8-5D78-42A2-83DF-66F10E02A4E9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É a massa específica média encontrada entre o ponto de implantação do paraquedas e o solo.
Fonte: CNES, França.
</t>
        </r>
        <r>
          <rPr>
            <i/>
            <sz val="9"/>
            <color indexed="81"/>
            <rFont val="Segoe UI"/>
            <family val="2"/>
          </rPr>
          <t>É a mesma coisa que calcular a massa específica diretamente pela fórmula utilizando a altitude do ponto de projeto.</t>
        </r>
      </text>
    </comment>
    <comment ref="D45" authorId="0" shapeId="0" xr:uid="{AAF157A7-543E-4875-B806-C64EA94191B3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É a gravidade média encontrada entre o ponto de implantação do paraquedas e o solo.
Fonte: CNES, França.
</t>
        </r>
        <r>
          <rPr>
            <i/>
            <sz val="9"/>
            <color indexed="81"/>
            <rFont val="Segoe UI"/>
            <family val="2"/>
          </rPr>
          <t>É a mesma coisa que calcular a gravidade diretamente pela Fórmula Internacional utilizando a altitude do ponto de projeto e a latitude do local de lançamento/pouso.</t>
        </r>
      </text>
    </comment>
    <comment ref="C50" authorId="0" shapeId="0" xr:uid="{09F0DFDA-DD21-4295-A905-113EC4795125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Em 25/08/24 comprovei por CFD o valor de 1,5 para velames semielípticos com um vent hole de 10%d simulando com Re=60.000 (Velame de 1m de diâmetro, v=10 m/s, rô=1,17 kg/m³).
O valor de 1,5 é obtido se utilizarmos como </t>
        </r>
        <r>
          <rPr>
            <b/>
            <sz val="9"/>
            <color indexed="81"/>
            <rFont val="Segoe UI"/>
            <family val="2"/>
          </rPr>
          <t>área de referência</t>
        </r>
        <r>
          <rPr>
            <sz val="9"/>
            <color indexed="81"/>
            <rFont val="Segoe UI"/>
            <family val="2"/>
          </rPr>
          <t xml:space="preserve"> no cálculo a </t>
        </r>
        <r>
          <rPr>
            <b/>
            <sz val="9"/>
            <color indexed="81"/>
            <rFont val="Segoe UI"/>
            <family val="2"/>
          </rPr>
          <t>área projetada</t>
        </r>
        <r>
          <rPr>
            <sz val="9"/>
            <color indexed="81"/>
            <rFont val="Segoe UI"/>
            <family val="2"/>
          </rPr>
          <t xml:space="preserve"> (projetada no plano x,y) do velame.
Para o mesmo velame, o Cd tem valor de ~0,92 se a área de referência utilizada no cálculo for a área molhada do velame.</t>
        </r>
      </text>
    </comment>
    <comment ref="C55" authorId="0" shapeId="0" xr:uid="{00000000-0006-0000-0100-00000F000000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Valores de velocidade muito altos farão com que a carga se quebre no toque.
Já valores muito baixos aumentarão a derrapagem lateral do paraquedas, o que fará com que a carga voe para longe.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14" authorId="0" shapeId="0" xr:uid="{7C1B2A6B-37BF-43EC-899B-413799363739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Quanto mais gomos, mais circular a base da semielipse será, e isso é bom.
O número de gomos também define o número de cordas que serão utilizadas.
Recomenda-se 8 gomos para paraquedas de até 1 m de diâmetro e 12 gomos para paraquedas maiores.</t>
        </r>
      </text>
    </comment>
    <comment ref="C16" authorId="0" shapeId="0" xr:uid="{476F0C5C-43EB-4534-814E-D653ABB7E6A3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Uma semielipse possui dois raios, sendo o</t>
        </r>
        <r>
          <rPr>
            <b/>
            <sz val="9"/>
            <color indexed="81"/>
            <rFont val="Segoe UI"/>
            <family val="2"/>
          </rPr>
          <t xml:space="preserve"> raio horizontal (a)</t>
        </r>
        <r>
          <rPr>
            <sz val="9"/>
            <color indexed="81"/>
            <rFont val="Segoe UI"/>
            <family val="2"/>
          </rPr>
          <t xml:space="preserve"> o maior. A relação entre o raio maior (a) e o </t>
        </r>
        <r>
          <rPr>
            <b/>
            <sz val="9"/>
            <color indexed="81"/>
            <rFont val="Segoe UI"/>
            <family val="2"/>
          </rPr>
          <t>raio menor (b)</t>
        </r>
        <r>
          <rPr>
            <sz val="9"/>
            <color indexed="81"/>
            <rFont val="Segoe UI"/>
            <family val="2"/>
          </rPr>
          <t xml:space="preserve"> é chamada de </t>
        </r>
        <r>
          <rPr>
            <b/>
            <sz val="9"/>
            <color indexed="81"/>
            <rFont val="Segoe UI"/>
            <family val="2"/>
          </rPr>
          <t>excentricidade</t>
        </r>
        <r>
          <rPr>
            <sz val="9"/>
            <color indexed="81"/>
            <rFont val="Segoe UI"/>
            <family val="2"/>
          </rPr>
          <t xml:space="preserve"> (ou razão de aspecto, </t>
        </r>
        <r>
          <rPr>
            <i/>
            <sz val="9"/>
            <color indexed="81"/>
            <rFont val="Segoe UI"/>
            <family val="2"/>
          </rPr>
          <t>"aspect ratio</t>
        </r>
        <r>
          <rPr>
            <sz val="9"/>
            <color indexed="81"/>
            <rFont val="Segoe UI"/>
            <family val="2"/>
          </rPr>
          <t xml:space="preserve">") da semielipse .
Na semielipse idealizada para compôr o velame projetado com esta metodologia o raio vertical (b) é definido como </t>
        </r>
        <r>
          <rPr>
            <b/>
            <sz val="9"/>
            <color indexed="81"/>
            <rFont val="Segoe UI"/>
            <family val="2"/>
          </rPr>
          <t>(0,707 x a)</t>
        </r>
        <r>
          <rPr>
            <sz val="9"/>
            <color indexed="81"/>
            <rFont val="Segoe UI"/>
            <family val="2"/>
          </rPr>
          <t>.
Neste caso, valor de 0,707 é a excentricidade da semielipse.</t>
        </r>
      </text>
    </comment>
    <comment ref="C23" authorId="0" shapeId="0" xr:uid="{00000000-0006-0000-0300-000003000000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É dada pela circunferência do velame dividida pelo n° de gomos.</t>
        </r>
      </text>
    </comment>
    <comment ref="C24" authorId="0" shapeId="0" xr:uid="{00000000-0006-0000-0300-000004000000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O gomo do velame de 1 m de diâmetro de Richard Nakka possui altura de 64,82 cm </t>
        </r>
        <r>
          <rPr>
            <b/>
            <sz val="9"/>
            <color indexed="81"/>
            <rFont val="Segoe UI"/>
            <family val="2"/>
          </rPr>
          <t>(0,6482 m</t>
        </r>
        <r>
          <rPr>
            <sz val="9"/>
            <color indexed="81"/>
            <rFont val="Segoe UI"/>
            <family val="2"/>
          </rPr>
          <t xml:space="preserve">).
Com este dado, pode-se encontrar a altura do nosso gomo utilizando uma escala na qual
yG = </t>
        </r>
        <r>
          <rPr>
            <b/>
            <sz val="9"/>
            <color indexed="81"/>
            <rFont val="Segoe UI"/>
            <family val="2"/>
          </rPr>
          <t>0,6482</t>
        </r>
        <r>
          <rPr>
            <sz val="9"/>
            <color indexed="81"/>
            <rFont val="Segoe UI"/>
            <family val="2"/>
          </rPr>
          <t>*d velame.</t>
        </r>
      </text>
    </comment>
    <comment ref="C25" authorId="0" shapeId="0" xr:uid="{00000000-0006-0000-0300-000005000000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É dada pela área molhada do velame (sem </t>
        </r>
        <r>
          <rPr>
            <i/>
            <sz val="9"/>
            <color indexed="81"/>
            <rFont val="Segoe UI"/>
            <family val="2"/>
          </rPr>
          <t>vent hole</t>
        </r>
        <r>
          <rPr>
            <sz val="9"/>
            <color indexed="81"/>
            <rFont val="Segoe UI"/>
            <family val="2"/>
          </rPr>
          <t>) dividida pelo nº de gomos.</t>
        </r>
      </text>
    </comment>
    <comment ref="C27" authorId="0" shapeId="0" xr:uid="{722572E4-1C46-44A8-BEBB-29805B9D8F2C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Obrigatoriamente deve-se adicionar as margens para bainha e costura</t>
        </r>
      </text>
    </comment>
    <comment ref="C30" authorId="0" shapeId="0" xr:uid="{3A11A476-9FD3-4F0E-9CE3-BC74C3B570B3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Cada gomo deve possuir uma margem </t>
        </r>
        <r>
          <rPr>
            <b/>
            <sz val="9"/>
            <color indexed="81"/>
            <rFont val="Segoe UI"/>
            <family val="2"/>
          </rPr>
          <t>(c)</t>
        </r>
        <r>
          <rPr>
            <sz val="9"/>
            <color indexed="81"/>
            <rFont val="Segoe UI"/>
            <family val="2"/>
          </rPr>
          <t xml:space="preserve"> para baixo, para a esquerda e para a direita para que seja feito bainha em cada um e posteriormente a costura que os unirá.
Assim, quando costurado, o diâmetro do velame não será diferente do calculado.</t>
        </r>
      </text>
    </comment>
    <comment ref="C31" authorId="0" shapeId="0" xr:uid="{34EE19FD-375B-4B19-8811-9BA31DAE109E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xGc = xG+c+c
Base do gomo + margem direita + margem esquerda.</t>
        </r>
      </text>
    </comment>
    <comment ref="C32" authorId="0" shapeId="0" xr:uid="{359BB797-8F03-405B-93FC-03AA6919C5D0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yGc = yG+c
Altura do gomo + margem.</t>
        </r>
      </text>
    </comment>
    <comment ref="C33" authorId="0" shapeId="0" xr:uid="{00000000-0006-0000-0300-000009000000}">
      <text>
        <r>
          <rPr>
            <b/>
            <sz val="9"/>
            <color indexed="81"/>
            <rFont val="Segoe UI"/>
            <family val="2"/>
          </rPr>
          <t xml:space="preserve">Mateus Vieira:
</t>
        </r>
        <r>
          <rPr>
            <sz val="9"/>
            <color indexed="81"/>
            <rFont val="Segoe UI"/>
            <family val="2"/>
          </rPr>
          <t xml:space="preserve">
Essa será a quantidade de tecido necessária para cada gomo.
Se o gomo com base xG possui área superficial AG, o gomo com base xGc deve possuir área superficial AGc proporcional.
</t>
        </r>
        <r>
          <rPr>
            <u/>
            <sz val="9"/>
            <color indexed="81"/>
            <rFont val="Segoe UI"/>
            <family val="2"/>
          </rPr>
          <t xml:space="preserve">Regra de 3: </t>
        </r>
        <r>
          <rPr>
            <sz val="9"/>
            <color indexed="81"/>
            <rFont val="Segoe UI"/>
            <family val="2"/>
          </rPr>
          <t xml:space="preserve">
xG   = AG
xGc = Agc
AGc = (xGc*AG) / xG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14" authorId="0" shapeId="0" xr:uid="{D2C0402C-EDE2-4E02-8F6A-48E3E531C014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De acordo com os resultados em CFD, o Cd do velame tem seus maiores valores quando há um vem hole de diâmetro correspondente a 4% do diâmetro do velame.
O valor máximo recomendado é 12%.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N11" authorId="0" shapeId="0" xr:uid="{1AF2807C-7FC3-4CD5-BA8F-9CC9A9968A4C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A </t>
        </r>
        <r>
          <rPr>
            <b/>
            <sz val="9"/>
            <color indexed="81"/>
            <rFont val="Segoe UI"/>
            <family val="2"/>
          </rPr>
          <t>tração estática</t>
        </r>
        <r>
          <rPr>
            <sz val="9"/>
            <color indexed="81"/>
            <rFont val="Segoe UI"/>
            <family val="2"/>
          </rPr>
          <t xml:space="preserve"> é aquela que ocorre em cada cordim após o sistema velame-carga atingir a </t>
        </r>
        <r>
          <rPr>
            <b/>
            <sz val="9"/>
            <color indexed="81"/>
            <rFont val="Segoe UI"/>
            <family val="2"/>
          </rPr>
          <t xml:space="preserve">velocidade terminal.
</t>
        </r>
        <r>
          <rPr>
            <sz val="9"/>
            <color indexed="81"/>
            <rFont val="Segoe UI"/>
            <family val="2"/>
          </rPr>
          <t xml:space="preserve">
Ela não leva em consideração o fator de choque que existe no momento da abertura do paraquedas.</t>
        </r>
      </text>
    </comment>
    <comment ref="C13" authorId="0" shapeId="0" xr:uid="{6EEEF23B-9B6F-44BE-AF53-771388C8FB51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L: Comprimento de cada cordim;
d: Diâmetro do velame.</t>
        </r>
      </text>
    </comment>
    <comment ref="C14" authorId="0" shapeId="0" xr:uid="{1BAF1471-70DB-405A-8A6E-6A6891EB1147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Valores de L/d muito baixos indicam que os cordins ficarão curtos. Isso:
- Prejudica a abertura total do velame, pois limita a sua rápida abertura máxima;
- Prejudica a estabilidade da descida porque diminui o efeito de pêndulo do sistema velame-carga;
- Faz com que o ângulo formado entre cada cordim e o velame seja pequeno , o que resulta em grandes esforços de tração em cada cordim. Quanto maior o ângulo menor a tração em cada cordim.
Use L/d de 1,5 em diante. Recomendo 2 ou mais e costumo usar </t>
        </r>
        <r>
          <rPr>
            <b/>
            <sz val="9"/>
            <color indexed="81"/>
            <rFont val="Segoe UI"/>
            <family val="2"/>
          </rPr>
          <t>3</t>
        </r>
        <r>
          <rPr>
            <sz val="9"/>
            <color indexed="81"/>
            <rFont val="Segoe UI"/>
            <family val="2"/>
          </rPr>
          <t>.</t>
        </r>
      </text>
    </comment>
    <comment ref="C16" authorId="0" shapeId="0" xr:uid="{6357F7C2-9C88-42EE-8942-01DF97577969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O número de cordins é igual ao número de gomos.</t>
        </r>
      </text>
    </comment>
    <comment ref="C27" authorId="0" shapeId="0" xr:uid="{17A4469A-4040-43F4-9144-901914C2F23D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A margem pode ser:
- 20 cm se somente nós forem ser executados;
- Mais de 20 cm se além dos nós deseja-se costurar os cordins no velame.
Deve-se adicionar as margens para garantir que após realizar as costuras e nós de amarrações, o comprimento calculado para o cordim ainda esteja válido.</t>
        </r>
      </text>
    </comment>
    <comment ref="C28" authorId="0" shapeId="0" xr:uid="{776275DC-0E8F-4D66-853B-47113FB95D0D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Lc = L + c
Comrpimendo do cordim + margem</t>
        </r>
      </text>
    </comment>
    <comment ref="C33" authorId="0" shapeId="0" xr:uid="{58FF4C1A-41F5-4FDD-ACF8-2930557B5852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Dada a relação L/d, o ângulo (θ) formado pelo velame e cada cordim deve ser maior que 70º. Isso se dá com o objetivo de diminuir a tensão em cada cordim e garantir a maior abertura do velame.
Quanto maior for L/d, maior será o ângulo θ.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M10" authorId="0" shapeId="0" xr:uid="{C03FAD0F-10D1-4E28-AA5F-91EE4B5309E9}">
      <text>
        <r>
          <rPr>
            <b/>
            <sz val="9"/>
            <color theme="1"/>
            <rFont val="Segoe UI"/>
            <family val="2"/>
          </rPr>
          <t>Mateus Vieira:</t>
        </r>
        <r>
          <rPr>
            <sz val="9"/>
            <color theme="1"/>
            <rFont val="Segoe UI"/>
            <family val="2"/>
          </rPr>
          <t xml:space="preserve">
As linhas verticais são as mesmas para 12 ou 8 gomos.</t>
        </r>
      </text>
    </comment>
    <comment ref="S10" authorId="0" shapeId="0" xr:uid="{3458D288-A540-4E00-8F61-BA13199FBF85}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AB10" authorId="0" shapeId="0" xr:uid="{BE586971-5925-4F56-BA7F-0C400EDE7D39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Cada linha vermelha que demonstra o gomo calculado é formada de pontos (x,y).
Cada ponto corresponde à extremidade de uma linha H. Assim, para cada ponto a sua coordenada x equivale à dimensão da linha H que passa por ele.
Ponto 1 (x=H1, y=V0)</t>
        </r>
      </text>
    </comment>
    <comment ref="AI13" authorId="0" shapeId="0" xr:uid="{18A82CFF-9DC0-4227-83F9-7D08A40BB822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Mesma coordenada x do ponto 1 porque a margem é uma extensão em y da mesma coordenada x.</t>
        </r>
      </text>
    </comment>
    <comment ref="AI14" authorId="0" shapeId="0" xr:uid="{3E65A6BF-11C1-4ECF-8612-9479240DCC73}">
      <text>
        <r>
          <rPr>
            <b/>
            <sz val="9"/>
            <color indexed="81"/>
            <rFont val="Segoe UI"/>
            <family val="2"/>
          </rPr>
          <t>Mateus Vieira:</t>
        </r>
        <r>
          <rPr>
            <sz val="9"/>
            <color indexed="81"/>
            <rFont val="Segoe UI"/>
            <family val="2"/>
          </rPr>
          <t xml:space="preserve">
Coordenada + Margem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<sst xmlns="http://schemas.openxmlformats.org/spreadsheetml/2006/main" count="576" uniqueCount="277">
  <si>
    <t>DISCLAIMER</t>
  </si>
  <si>
    <t>Legenda</t>
  </si>
  <si>
    <t>Definições Importantes</t>
  </si>
  <si>
    <t>Inputs. São os valores que alimentam a planilha e devem ser informados pelo projetista.</t>
  </si>
  <si>
    <t>ASL</t>
  </si>
  <si>
    <r>
      <rPr>
        <b/>
        <sz val="10"/>
        <color theme="1"/>
        <rFont val="Arial"/>
        <family val="2"/>
      </rPr>
      <t>ALTITUDE (Z):</t>
    </r>
    <r>
      <rPr>
        <i/>
        <sz val="10"/>
        <color theme="1"/>
        <rFont val="Arial"/>
        <family val="2"/>
      </rPr>
      <t xml:space="preserve"> Above Sea Level - </t>
    </r>
    <r>
      <rPr>
        <sz val="10"/>
        <color theme="1"/>
        <rFont val="Arial"/>
        <family val="2"/>
      </rPr>
      <t>Acima do nível do mar.</t>
    </r>
  </si>
  <si>
    <t>AGL</t>
  </si>
  <si>
    <r>
      <rPr>
        <b/>
        <sz val="10"/>
        <color theme="1"/>
        <rFont val="Arial"/>
        <family val="2"/>
      </rPr>
      <t>ALTURA (H):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 xml:space="preserve">Abrove Ground Level - </t>
    </r>
    <r>
      <rPr>
        <sz val="10"/>
        <color theme="1"/>
        <rFont val="Arial"/>
        <family val="2"/>
      </rPr>
      <t>Acima do nível do solo.</t>
    </r>
  </si>
  <si>
    <t>Resultados entregues.</t>
  </si>
  <si>
    <t>ρ</t>
  </si>
  <si>
    <r>
      <rPr>
        <b/>
        <sz val="10"/>
        <color theme="1"/>
        <rFont val="Arial"/>
        <family val="2"/>
      </rPr>
      <t xml:space="preserve">DENSIDADE: </t>
    </r>
    <r>
      <rPr>
        <sz val="10"/>
        <color theme="1"/>
        <rFont val="Arial"/>
        <family val="2"/>
      </rPr>
      <t>Massa específica do ar na altitude Z (km).</t>
    </r>
  </si>
  <si>
    <t>g</t>
  </si>
  <si>
    <r>
      <rPr>
        <b/>
        <sz val="10"/>
        <color theme="1"/>
        <rFont val="Arial"/>
        <family val="2"/>
      </rPr>
      <t xml:space="preserve">GRAVIDADE: </t>
    </r>
    <r>
      <rPr>
        <sz val="10"/>
        <color theme="1"/>
        <rFont val="Arial"/>
        <family val="2"/>
      </rPr>
      <t>Aceleração p/ a altura H (m) e latitude λ (°).</t>
    </r>
  </si>
  <si>
    <t>DIMENSIONAMENTO DO VELAME</t>
  </si>
  <si>
    <t>INSTRUÇÕES</t>
  </si>
  <si>
    <t>t</t>
  </si>
  <si>
    <t>Em uma altitude z, a velocidade máxima de um corpo será a velocidade terminal do corpo naquele ponto.</t>
  </si>
  <si>
    <t>t=</t>
  </si>
  <si>
    <t>DADOS DE ENTRADA</t>
  </si>
  <si>
    <t>RESULTADOS</t>
  </si>
  <si>
    <t>VARIAÇÃO DA Vt COM A ALTITUDE - Cd Constante</t>
  </si>
  <si>
    <t>dz</t>
  </si>
  <si>
    <r>
      <t>m</t>
    </r>
    <r>
      <rPr>
        <b/>
        <vertAlign val="subscript"/>
        <sz val="16"/>
        <color theme="0"/>
        <rFont val="Arial"/>
        <family val="2"/>
      </rPr>
      <t>s</t>
    </r>
  </si>
  <si>
    <r>
      <t>A</t>
    </r>
    <r>
      <rPr>
        <b/>
        <vertAlign val="subscript"/>
        <sz val="16"/>
        <color theme="0"/>
        <rFont val="Arial"/>
        <family val="2"/>
      </rPr>
      <t>r</t>
    </r>
  </si>
  <si>
    <t>Ponto</t>
  </si>
  <si>
    <t>Altitude</t>
  </si>
  <si>
    <t>Altura</t>
  </si>
  <si>
    <t>m</t>
  </si>
  <si>
    <t>mg = FD</t>
  </si>
  <si>
    <t>Cd</t>
  </si>
  <si>
    <t>A</t>
  </si>
  <si>
    <t>Vt</t>
  </si>
  <si>
    <t>v</t>
  </si>
  <si>
    <t>Elemento</t>
  </si>
  <si>
    <t>Unid</t>
  </si>
  <si>
    <t>Valor</t>
  </si>
  <si>
    <t>Apogeu</t>
  </si>
  <si>
    <t>[kg]</t>
  </si>
  <si>
    <t>[m²]</t>
  </si>
  <si>
    <r>
      <rPr>
        <b/>
        <sz val="11"/>
        <color theme="1"/>
        <rFont val="Arial"/>
        <family val="2"/>
      </rPr>
      <t>Cd</t>
    </r>
    <r>
      <rPr>
        <b/>
        <vertAlign val="subscript"/>
        <sz val="11"/>
        <color theme="1"/>
        <rFont val="Arial"/>
        <family val="2"/>
      </rPr>
      <t>fog</t>
    </r>
    <r>
      <rPr>
        <sz val="11"/>
        <color theme="1"/>
        <rFont val="Arial"/>
        <family val="2"/>
      </rPr>
      <t xml:space="preserve"> - Coeficiente de arrasto do foguete</t>
    </r>
  </si>
  <si>
    <t>[-]</t>
  </si>
  <si>
    <r>
      <rPr>
        <b/>
        <sz val="11"/>
        <color theme="1"/>
        <rFont val="Arial"/>
        <family val="2"/>
      </rPr>
      <t>d</t>
    </r>
    <r>
      <rPr>
        <b/>
        <vertAlign val="subscript"/>
        <sz val="11"/>
        <color theme="1"/>
        <rFont val="Arial"/>
        <family val="2"/>
      </rPr>
      <t xml:space="preserve">fog    </t>
    </r>
    <r>
      <rPr>
        <sz val="11"/>
        <color theme="1"/>
        <rFont val="Arial"/>
        <family val="2"/>
      </rPr>
      <t xml:space="preserve"> - Diâmetro do foguete</t>
    </r>
  </si>
  <si>
    <t>[m]</t>
  </si>
  <si>
    <t>[N]</t>
  </si>
  <si>
    <r>
      <t>d</t>
    </r>
    <r>
      <rPr>
        <b/>
        <vertAlign val="subscript"/>
        <sz val="14"/>
        <color theme="0"/>
        <rFont val="Arial"/>
        <family val="2"/>
      </rPr>
      <t>Vel</t>
    </r>
  </si>
  <si>
    <t>Diâmetro da base do velame inflado</t>
  </si>
  <si>
    <t>Solo</t>
  </si>
  <si>
    <r>
      <rPr>
        <b/>
        <sz val="11"/>
        <color theme="1"/>
        <rFont val="Arial"/>
        <family val="2"/>
      </rPr>
      <t>Circ</t>
    </r>
    <r>
      <rPr>
        <sz val="11"/>
        <color theme="1"/>
        <rFont val="Arial"/>
        <family val="2"/>
      </rPr>
      <t xml:space="preserve"> - Circunferência correspondente</t>
    </r>
  </si>
  <si>
    <t>[°]</t>
  </si>
  <si>
    <r>
      <rPr>
        <b/>
        <sz val="11"/>
        <color theme="1"/>
        <rFont val="Arial"/>
        <family val="2"/>
      </rPr>
      <t>ρ</t>
    </r>
    <r>
      <rPr>
        <b/>
        <vertAlign val="subscript"/>
        <sz val="11"/>
        <color theme="1"/>
        <rFont val="Arial"/>
        <family val="2"/>
      </rPr>
      <t>solo</t>
    </r>
    <r>
      <rPr>
        <vertAlign val="subscript"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Massa específica do ar no solo</t>
    </r>
  </si>
  <si>
    <t>[kg/m³]</t>
  </si>
  <si>
    <t>Implantação</t>
  </si>
  <si>
    <r>
      <rPr>
        <b/>
        <sz val="11"/>
        <color theme="1"/>
        <rFont val="Arial"/>
        <family val="2"/>
      </rPr>
      <t>g</t>
    </r>
    <r>
      <rPr>
        <b/>
        <vertAlign val="subscript"/>
        <sz val="11"/>
        <color theme="1"/>
        <rFont val="Arial"/>
        <family val="2"/>
      </rPr>
      <t>solo</t>
    </r>
    <r>
      <rPr>
        <sz val="11"/>
        <color theme="1"/>
        <rFont val="Arial"/>
        <family val="2"/>
      </rPr>
      <t xml:space="preserve"> - Aceleração da gravidade no solo</t>
    </r>
  </si>
  <si>
    <t>[m/s²]</t>
  </si>
  <si>
    <t>H</t>
  </si>
  <si>
    <r>
      <rPr>
        <b/>
        <sz val="11"/>
        <color theme="1"/>
        <rFont val="Arial"/>
        <family val="2"/>
      </rPr>
      <t>Z</t>
    </r>
    <r>
      <rPr>
        <b/>
        <vertAlign val="subscript"/>
        <sz val="11"/>
        <color theme="1"/>
        <rFont val="Arial"/>
        <family val="2"/>
      </rPr>
      <t>H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Altitude do apogeu (ASL)</t>
    </r>
  </si>
  <si>
    <r>
      <rPr>
        <b/>
        <sz val="11"/>
        <color theme="1"/>
        <rFont val="Arial"/>
        <family val="2"/>
      </rPr>
      <t>ρ</t>
    </r>
    <r>
      <rPr>
        <b/>
        <vertAlign val="subscript"/>
        <sz val="11"/>
        <color theme="1"/>
        <rFont val="Arial"/>
        <family val="2"/>
      </rPr>
      <t>H</t>
    </r>
    <r>
      <rPr>
        <vertAlign val="subscript"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Massa específica do ar no apogeu</t>
    </r>
  </si>
  <si>
    <r>
      <rPr>
        <b/>
        <sz val="11"/>
        <color theme="1"/>
        <rFont val="Arial"/>
        <family val="2"/>
      </rPr>
      <t>g</t>
    </r>
    <r>
      <rPr>
        <b/>
        <vertAlign val="subscript"/>
        <sz val="11"/>
        <color theme="1"/>
        <rFont val="Arial"/>
        <family val="2"/>
      </rPr>
      <t>H</t>
    </r>
    <r>
      <rPr>
        <sz val="11"/>
        <color theme="1"/>
        <rFont val="Arial"/>
        <family val="2"/>
      </rPr>
      <t xml:space="preserve"> - Aceleração da gravidade no apogeu</t>
    </r>
  </si>
  <si>
    <t>Imp</t>
  </si>
  <si>
    <t>PP</t>
  </si>
  <si>
    <t>Defina um valor entre</t>
  </si>
  <si>
    <t>e</t>
  </si>
  <si>
    <t>m acima do solo</t>
  </si>
  <si>
    <t>Massa específica do ar no PP</t>
  </si>
  <si>
    <t>Aceleração da gravidade no PP</t>
  </si>
  <si>
    <t>Valor próximo de 1,5</t>
  </si>
  <si>
    <r>
      <t>V</t>
    </r>
    <r>
      <rPr>
        <b/>
        <vertAlign val="subscript"/>
        <sz val="16"/>
        <color theme="0"/>
        <rFont val="Arial"/>
        <family val="2"/>
      </rPr>
      <t>t</t>
    </r>
  </si>
  <si>
    <t>[m/s]</t>
  </si>
  <si>
    <t>~10 m/s para um paraquedas terminal, ou ~25 m/s para um drogue</t>
  </si>
  <si>
    <t>[km/h]</t>
  </si>
  <si>
    <t>DIMENSIONAMENTO DO VENT HOLE</t>
  </si>
  <si>
    <t>Circunferência do Velame</t>
  </si>
  <si>
    <t>Circunferência do Hole</t>
  </si>
  <si>
    <t>x</t>
  </si>
  <si>
    <t>y</t>
  </si>
  <si>
    <t>Raio do Velame</t>
  </si>
  <si>
    <t>Raio do Velame/5</t>
  </si>
  <si>
    <t>VH</t>
  </si>
  <si>
    <t>[%]</t>
  </si>
  <si>
    <t>Raio do Furo</t>
  </si>
  <si>
    <t>DIMENSIONAMENTO AUTOMÁTICO DOS GOMOS</t>
  </si>
  <si>
    <t>nG</t>
  </si>
  <si>
    <t>Número de gomos</t>
  </si>
  <si>
    <t>ε</t>
  </si>
  <si>
    <t>G</t>
  </si>
  <si>
    <t>Corte</t>
  </si>
  <si>
    <t>H1</t>
  </si>
  <si>
    <t>H2</t>
  </si>
  <si>
    <t>H3</t>
  </si>
  <si>
    <t>H4</t>
  </si>
  <si>
    <t>H5</t>
  </si>
  <si>
    <t>H6</t>
  </si>
  <si>
    <t>H7</t>
  </si>
  <si>
    <t>ESCALAS</t>
  </si>
  <si>
    <t>NG</t>
  </si>
  <si>
    <t>Linhas Horizontais - 12 G</t>
  </si>
  <si>
    <t>Linhas Horizontais - 8 G</t>
  </si>
  <si>
    <t>Linhas Verticais</t>
  </si>
  <si>
    <t>Linhas Horizontais</t>
  </si>
  <si>
    <t>Linha</t>
  </si>
  <si>
    <t>Dimensão [cm]</t>
  </si>
  <si>
    <t>V0</t>
  </si>
  <si>
    <t>V1</t>
  </si>
  <si>
    <t>xG</t>
  </si>
  <si>
    <t>V2</t>
  </si>
  <si>
    <t>yG</t>
  </si>
  <si>
    <t>V3</t>
  </si>
  <si>
    <t>V4</t>
  </si>
  <si>
    <t>V5</t>
  </si>
  <si>
    <t>V6</t>
  </si>
  <si>
    <t>H0</t>
  </si>
  <si>
    <t>V7</t>
  </si>
  <si>
    <t>Fe</t>
  </si>
  <si>
    <t>Fator de escala</t>
  </si>
  <si>
    <t>[cm]</t>
  </si>
  <si>
    <t>L/d</t>
  </si>
  <si>
    <t>θ</t>
  </si>
  <si>
    <t>H1/2</t>
  </si>
  <si>
    <t>H2/2</t>
  </si>
  <si>
    <t>H3/2</t>
  </si>
  <si>
    <t>H4/2</t>
  </si>
  <si>
    <t>H5/2</t>
  </si>
  <si>
    <t>H6/2</t>
  </si>
  <si>
    <t>H7/2</t>
  </si>
  <si>
    <t>H0/2</t>
  </si>
  <si>
    <t>V0/2</t>
  </si>
  <si>
    <t>V1/2</t>
  </si>
  <si>
    <t>V2/2</t>
  </si>
  <si>
    <t>V5/2</t>
  </si>
  <si>
    <t>V3/2</t>
  </si>
  <si>
    <t>V4/2</t>
  </si>
  <si>
    <t>V6/2</t>
  </si>
  <si>
    <t>V7/2</t>
  </si>
  <si>
    <t>P1</t>
  </si>
  <si>
    <t>P2</t>
  </si>
  <si>
    <t>P3</t>
  </si>
  <si>
    <t>Base do gabarito</t>
  </si>
  <si>
    <t>Altura do gabarito</t>
  </si>
  <si>
    <t>Dimens do gomo calculado</t>
  </si>
  <si>
    <t>Dados do gomo calculado</t>
  </si>
  <si>
    <r>
      <rPr>
        <b/>
        <sz val="10"/>
        <color theme="1"/>
        <rFont val="Arial"/>
        <family val="2"/>
      </rPr>
      <t>nG</t>
    </r>
    <r>
      <rPr>
        <sz val="10"/>
        <color theme="1"/>
        <rFont val="Arial"/>
        <family val="2"/>
      </rPr>
      <t xml:space="preserve"> - Número de gomos</t>
    </r>
  </si>
  <si>
    <r>
      <rPr>
        <b/>
        <sz val="10"/>
        <color theme="1"/>
        <rFont val="Arial"/>
        <family val="2"/>
      </rPr>
      <t>xG</t>
    </r>
    <r>
      <rPr>
        <sz val="10"/>
        <color theme="1"/>
        <rFont val="Arial"/>
        <family val="2"/>
      </rPr>
      <t xml:space="preserve"> - Base do gomo</t>
    </r>
  </si>
  <si>
    <r>
      <rPr>
        <b/>
        <sz val="10"/>
        <color theme="1"/>
        <rFont val="Arial"/>
        <family val="2"/>
      </rPr>
      <t>yG</t>
    </r>
    <r>
      <rPr>
        <sz val="10"/>
        <color theme="1"/>
        <rFont val="Arial"/>
        <family val="2"/>
      </rPr>
      <t xml:space="preserve"> - Altura do gomo</t>
    </r>
  </si>
  <si>
    <r>
      <t>H1</t>
    </r>
    <r>
      <rPr>
        <b/>
        <vertAlign val="subscript"/>
        <sz val="10"/>
        <rFont val="Arial"/>
        <family val="2"/>
      </rPr>
      <t>esc</t>
    </r>
  </si>
  <si>
    <r>
      <t>H2</t>
    </r>
    <r>
      <rPr>
        <b/>
        <vertAlign val="subscript"/>
        <sz val="10"/>
        <rFont val="Arial"/>
        <family val="2"/>
      </rPr>
      <t>esc</t>
    </r>
  </si>
  <si>
    <r>
      <t>H3</t>
    </r>
    <r>
      <rPr>
        <b/>
        <vertAlign val="subscript"/>
        <sz val="10"/>
        <rFont val="Arial"/>
        <family val="2"/>
      </rPr>
      <t>esc</t>
    </r>
  </si>
  <si>
    <r>
      <t>xG</t>
    </r>
    <r>
      <rPr>
        <b/>
        <vertAlign val="subscript"/>
        <sz val="10"/>
        <color theme="1"/>
        <rFont val="Arial"/>
        <family val="2"/>
      </rPr>
      <t>esc</t>
    </r>
  </si>
  <si>
    <r>
      <t>yG</t>
    </r>
    <r>
      <rPr>
        <b/>
        <vertAlign val="subscript"/>
        <sz val="10"/>
        <color theme="1"/>
        <rFont val="Arial"/>
        <family val="2"/>
      </rPr>
      <t>esc</t>
    </r>
  </si>
  <si>
    <r>
      <t>H0</t>
    </r>
    <r>
      <rPr>
        <b/>
        <vertAlign val="subscript"/>
        <sz val="10"/>
        <rFont val="Arial"/>
        <family val="2"/>
      </rPr>
      <t>esc</t>
    </r>
  </si>
  <si>
    <r>
      <t>H7</t>
    </r>
    <r>
      <rPr>
        <b/>
        <vertAlign val="subscript"/>
        <sz val="10"/>
        <rFont val="Arial"/>
        <family val="2"/>
      </rPr>
      <t>esc</t>
    </r>
  </si>
  <si>
    <r>
      <t>H6</t>
    </r>
    <r>
      <rPr>
        <b/>
        <vertAlign val="subscript"/>
        <sz val="10"/>
        <rFont val="Arial"/>
        <family val="2"/>
      </rPr>
      <t>esc</t>
    </r>
  </si>
  <si>
    <r>
      <t>H5</t>
    </r>
    <r>
      <rPr>
        <b/>
        <vertAlign val="subscript"/>
        <sz val="10"/>
        <rFont val="Arial"/>
        <family val="2"/>
      </rPr>
      <t>esc</t>
    </r>
  </si>
  <si>
    <r>
      <t>H4</t>
    </r>
    <r>
      <rPr>
        <b/>
        <vertAlign val="subscript"/>
        <sz val="10"/>
        <rFont val="Arial"/>
        <family val="2"/>
      </rPr>
      <t>esc</t>
    </r>
  </si>
  <si>
    <r>
      <rPr>
        <b/>
        <sz val="11"/>
        <color theme="1"/>
        <rFont val="Arial"/>
        <family val="2"/>
      </rPr>
      <t>V</t>
    </r>
    <r>
      <rPr>
        <b/>
        <vertAlign val="subscript"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 xml:space="preserve"> - Velocidade terminal desejada</t>
    </r>
  </si>
  <si>
    <r>
      <rPr>
        <b/>
        <sz val="11"/>
        <color theme="1"/>
        <rFont val="Arial"/>
        <family val="2"/>
      </rPr>
      <t xml:space="preserve">H  </t>
    </r>
    <r>
      <rPr>
        <sz val="11"/>
        <color theme="1"/>
        <rFont val="Arial"/>
        <family val="2"/>
      </rPr>
      <t>- Apogeu do foguete (AGL)</t>
    </r>
  </si>
  <si>
    <r>
      <rPr>
        <b/>
        <sz val="11"/>
        <color theme="1"/>
        <rFont val="Arial"/>
        <family val="2"/>
      </rPr>
      <t>A</t>
    </r>
    <r>
      <rPr>
        <b/>
        <vertAlign val="subscript"/>
        <sz val="11"/>
        <color theme="1"/>
        <rFont val="Arial"/>
        <family val="2"/>
      </rPr>
      <t xml:space="preserve">mol 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Área molhada correspondente</t>
    </r>
  </si>
  <si>
    <t>Área de referência</t>
  </si>
  <si>
    <r>
      <rPr>
        <b/>
        <sz val="11"/>
        <color theme="1"/>
        <rFont val="Arial"/>
        <family val="2"/>
      </rPr>
      <t>xG</t>
    </r>
    <r>
      <rPr>
        <sz val="11"/>
        <color theme="1"/>
        <rFont val="Arial"/>
        <family val="2"/>
      </rPr>
      <t xml:space="preserve"> - Base do gomo</t>
    </r>
  </si>
  <si>
    <r>
      <rPr>
        <b/>
        <sz val="11"/>
        <color theme="1"/>
        <rFont val="Arial"/>
        <family val="2"/>
      </rPr>
      <t>yG</t>
    </r>
    <r>
      <rPr>
        <sz val="11"/>
        <color theme="1"/>
        <rFont val="Arial"/>
        <family val="2"/>
      </rPr>
      <t xml:space="preserve"> - Altura do gomo</t>
    </r>
  </si>
  <si>
    <r>
      <rPr>
        <b/>
        <sz val="11"/>
        <color theme="1"/>
        <rFont val="Arial"/>
        <family val="2"/>
      </rPr>
      <t>b</t>
    </r>
    <r>
      <rPr>
        <sz val="11"/>
        <color theme="1"/>
        <rFont val="Arial"/>
        <family val="2"/>
      </rPr>
      <t xml:space="preserve"> - Raio menor da semielipse do velame</t>
    </r>
  </si>
  <si>
    <r>
      <rPr>
        <b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- Raio maior da semielipse do velame</t>
    </r>
  </si>
  <si>
    <r>
      <rPr>
        <b/>
        <sz val="11"/>
        <color theme="1"/>
        <rFont val="Arial"/>
        <family val="2"/>
      </rPr>
      <t>AG</t>
    </r>
    <r>
      <rPr>
        <sz val="11"/>
        <color theme="1"/>
        <rFont val="Arial"/>
        <family val="2"/>
      </rPr>
      <t xml:space="preserve"> - Área superficial de cada gomo</t>
    </r>
  </si>
  <si>
    <r>
      <t>C</t>
    </r>
    <r>
      <rPr>
        <b/>
        <vertAlign val="subscript"/>
        <sz val="14"/>
        <color theme="0"/>
        <rFont val="Arial"/>
        <family val="2"/>
      </rPr>
      <t>d</t>
    </r>
  </si>
  <si>
    <r>
      <t xml:space="preserve">Diâmetro do </t>
    </r>
    <r>
      <rPr>
        <b/>
        <i/>
        <sz val="11"/>
        <color theme="0"/>
        <rFont val="Arial"/>
        <family val="2"/>
      </rPr>
      <t>vent hole</t>
    </r>
    <r>
      <rPr>
        <b/>
        <sz val="11"/>
        <color theme="0"/>
        <rFont val="Arial"/>
        <family val="2"/>
      </rPr>
      <t xml:space="preserve"> do velame</t>
    </r>
  </si>
  <si>
    <r>
      <rPr>
        <b/>
        <sz val="11"/>
        <color theme="1"/>
        <rFont val="Arial"/>
        <family val="2"/>
      </rPr>
      <t>d</t>
    </r>
    <r>
      <rPr>
        <b/>
        <vertAlign val="subscript"/>
        <sz val="11"/>
        <color theme="1"/>
        <rFont val="Arial"/>
        <family val="2"/>
      </rPr>
      <t>vh</t>
    </r>
    <r>
      <rPr>
        <b/>
        <sz val="11"/>
        <color theme="1"/>
        <rFont val="Arial"/>
        <family val="2"/>
      </rPr>
      <t>/d</t>
    </r>
    <r>
      <rPr>
        <b/>
        <vertAlign val="subscript"/>
        <sz val="11"/>
        <color theme="1"/>
        <rFont val="Arial"/>
        <family val="2"/>
      </rPr>
      <t>vel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- Razão entre o diâmetro do </t>
    </r>
    <r>
      <rPr>
        <i/>
        <sz val="11"/>
        <color theme="1"/>
        <rFont val="Arial"/>
        <family val="2"/>
      </rPr>
      <t>vent hole</t>
    </r>
    <r>
      <rPr>
        <sz val="11"/>
        <color theme="1"/>
        <rFont val="Arial"/>
        <family val="2"/>
      </rPr>
      <t xml:space="preserve"> e do velame</t>
    </r>
  </si>
  <si>
    <r>
      <rPr>
        <b/>
        <sz val="11"/>
        <color theme="1"/>
        <rFont val="Arial"/>
        <family val="2"/>
      </rPr>
      <t>d</t>
    </r>
    <r>
      <rPr>
        <b/>
        <vertAlign val="subscript"/>
        <sz val="11"/>
        <color theme="1"/>
        <rFont val="Arial"/>
        <family val="2"/>
      </rPr>
      <t>vh</t>
    </r>
    <r>
      <rPr>
        <b/>
        <sz val="11"/>
        <color theme="1"/>
        <rFont val="Arial"/>
        <family val="2"/>
      </rPr>
      <t xml:space="preserve">        </t>
    </r>
    <r>
      <rPr>
        <sz val="11"/>
        <color theme="1"/>
        <rFont val="Arial"/>
        <family val="2"/>
      </rPr>
      <t xml:space="preserve">- Diâmetro do </t>
    </r>
    <r>
      <rPr>
        <i/>
        <sz val="11"/>
        <color theme="1"/>
        <rFont val="Arial"/>
        <family val="2"/>
      </rPr>
      <t>vent hole</t>
    </r>
  </si>
  <si>
    <r>
      <rPr>
        <b/>
        <sz val="11"/>
        <color theme="1"/>
        <rFont val="Arial"/>
        <family val="2"/>
      </rPr>
      <t>A</t>
    </r>
    <r>
      <rPr>
        <b/>
        <vertAlign val="subscript"/>
        <sz val="11"/>
        <color theme="1"/>
        <rFont val="Arial"/>
        <family val="2"/>
      </rPr>
      <t>vh</t>
    </r>
    <r>
      <rPr>
        <b/>
        <sz val="11"/>
        <color theme="1"/>
        <rFont val="Arial"/>
        <family val="2"/>
      </rPr>
      <t xml:space="preserve">        </t>
    </r>
    <r>
      <rPr>
        <sz val="11"/>
        <color theme="1"/>
        <rFont val="Arial"/>
        <family val="2"/>
      </rPr>
      <t xml:space="preserve">- Área do </t>
    </r>
    <r>
      <rPr>
        <i/>
        <sz val="11"/>
        <color theme="1"/>
        <rFont val="Arial"/>
        <family val="2"/>
      </rPr>
      <t>vent hole</t>
    </r>
  </si>
  <si>
    <r>
      <rPr>
        <b/>
        <sz val="11"/>
        <color theme="1"/>
        <rFont val="Arial"/>
        <family val="2"/>
      </rPr>
      <t>nG</t>
    </r>
    <r>
      <rPr>
        <sz val="11"/>
        <color theme="1"/>
        <rFont val="Arial"/>
        <family val="2"/>
      </rPr>
      <t xml:space="preserve"> - Número de gomos que irão compôr o velame</t>
    </r>
  </si>
  <si>
    <t>Recomenda-se valor entre 4 e 12%</t>
  </si>
  <si>
    <r>
      <rPr>
        <b/>
        <sz val="11"/>
        <color theme="1"/>
        <rFont val="Arial"/>
        <family val="2"/>
      </rPr>
      <t>xG</t>
    </r>
    <r>
      <rPr>
        <b/>
        <vertAlign val="subscript"/>
        <sz val="11"/>
        <color theme="1"/>
        <rFont val="Arial"/>
        <family val="2"/>
      </rPr>
      <t>c</t>
    </r>
    <r>
      <rPr>
        <vertAlign val="subscript"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Comprimento de corte</t>
    </r>
  </si>
  <si>
    <r>
      <rPr>
        <b/>
        <sz val="11"/>
        <color theme="1"/>
        <rFont val="Arial"/>
        <family val="2"/>
      </rPr>
      <t>yG</t>
    </r>
    <r>
      <rPr>
        <b/>
        <vertAlign val="subscript"/>
        <sz val="11"/>
        <color theme="1"/>
        <rFont val="Arial"/>
        <family val="2"/>
      </rPr>
      <t>c</t>
    </r>
    <r>
      <rPr>
        <vertAlign val="subscript"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Altura de corte</t>
    </r>
  </si>
  <si>
    <r>
      <rPr>
        <b/>
        <sz val="11"/>
        <color theme="1"/>
        <rFont val="Arial"/>
        <family val="2"/>
      </rPr>
      <t>Ag</t>
    </r>
    <r>
      <rPr>
        <b/>
        <vertAlign val="subscript"/>
        <sz val="11"/>
        <color theme="1"/>
        <rFont val="Arial"/>
        <family val="2"/>
      </rPr>
      <t>c</t>
    </r>
    <r>
      <rPr>
        <vertAlign val="subscript"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Área superficial de cada gomo com as margens</t>
    </r>
  </si>
  <si>
    <t>Excentricidade da semielipse</t>
  </si>
  <si>
    <t>Dimensões do gomo</t>
  </si>
  <si>
    <t>Dimensões de corte</t>
  </si>
  <si>
    <r>
      <rPr>
        <b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   - Margem de costura</t>
    </r>
  </si>
  <si>
    <r>
      <t xml:space="preserve">As dimensões acima correspondem ao molde de gomo disponibilizado por Richard Nakka em sua planilha </t>
    </r>
    <r>
      <rPr>
        <i/>
        <sz val="10"/>
        <color rgb="FF000000"/>
        <rFont val="Arial"/>
        <family val="2"/>
      </rPr>
      <t>Parapat v1.1</t>
    </r>
  </si>
  <si>
    <t>COORD EIXO y</t>
  </si>
  <si>
    <t>COORDENADAS NO EIXO x</t>
  </si>
  <si>
    <t>P4</t>
  </si>
  <si>
    <t>P5</t>
  </si>
  <si>
    <t>P6</t>
  </si>
  <si>
    <t>P7</t>
  </si>
  <si>
    <t>P8</t>
  </si>
  <si>
    <t>P0</t>
  </si>
  <si>
    <t>Valores que a planilha calcula ou já calculou antes. Não é necessário informar.</t>
  </si>
  <si>
    <t>Margem</t>
  </si>
  <si>
    <t>x [cm]</t>
  </si>
  <si>
    <t>Coord. x da linha esquerda</t>
  </si>
  <si>
    <t>Coord. x da linha direita</t>
  </si>
  <si>
    <t>Coord. y de ambas as linhas</t>
  </si>
  <si>
    <t>Coordenadas da linha vermelha inferior</t>
  </si>
  <si>
    <t>Coordenadas da linha tracejada superior</t>
  </si>
  <si>
    <r>
      <t>V7</t>
    </r>
    <r>
      <rPr>
        <b/>
        <vertAlign val="subscript"/>
        <sz val="10"/>
        <color theme="1"/>
        <rFont val="Arial"/>
        <family val="2"/>
      </rPr>
      <t>esc</t>
    </r>
  </si>
  <si>
    <r>
      <t>V0</t>
    </r>
    <r>
      <rPr>
        <b/>
        <vertAlign val="subscript"/>
        <sz val="10"/>
        <rFont val="Arial"/>
        <family val="2"/>
      </rPr>
      <t>esc</t>
    </r>
  </si>
  <si>
    <r>
      <t>V1</t>
    </r>
    <r>
      <rPr>
        <b/>
        <vertAlign val="subscript"/>
        <sz val="10"/>
        <color theme="1"/>
        <rFont val="Arial"/>
        <family val="2"/>
      </rPr>
      <t>esc</t>
    </r>
  </si>
  <si>
    <r>
      <t>V2</t>
    </r>
    <r>
      <rPr>
        <b/>
        <vertAlign val="subscript"/>
        <sz val="10"/>
        <rFont val="Arial"/>
        <family val="2"/>
      </rPr>
      <t>esc</t>
    </r>
  </si>
  <si>
    <r>
      <t>V3</t>
    </r>
    <r>
      <rPr>
        <b/>
        <vertAlign val="subscript"/>
        <sz val="10"/>
        <color theme="1"/>
        <rFont val="Arial"/>
        <family val="2"/>
      </rPr>
      <t>esc</t>
    </r>
  </si>
  <si>
    <r>
      <t>V4</t>
    </r>
    <r>
      <rPr>
        <b/>
        <vertAlign val="subscript"/>
        <sz val="10"/>
        <rFont val="Arial"/>
        <family val="2"/>
      </rPr>
      <t>esc</t>
    </r>
  </si>
  <si>
    <r>
      <t>V5</t>
    </r>
    <r>
      <rPr>
        <b/>
        <vertAlign val="subscript"/>
        <sz val="10"/>
        <color theme="1"/>
        <rFont val="Arial"/>
        <family val="2"/>
      </rPr>
      <t>esc</t>
    </r>
  </si>
  <si>
    <r>
      <t>V6</t>
    </r>
    <r>
      <rPr>
        <b/>
        <vertAlign val="subscript"/>
        <sz val="10"/>
        <rFont val="Arial"/>
        <family val="2"/>
      </rPr>
      <t>esc</t>
    </r>
  </si>
  <si>
    <t>Base</t>
  </si>
  <si>
    <t>Plot do raio do Velame</t>
  </si>
  <si>
    <t>Plot do raio do Hole</t>
  </si>
  <si>
    <t>Raio [m]</t>
  </si>
  <si>
    <t xml:space="preserve">Âng [°] </t>
  </si>
  <si>
    <t>Plot da curva que forma o velame</t>
  </si>
  <si>
    <t>Plot do raio b</t>
  </si>
  <si>
    <t>Plot do raio a</t>
  </si>
  <si>
    <t>Passo de a p/ plot do velame</t>
  </si>
  <si>
    <t>a/99</t>
  </si>
  <si>
    <t>Cota do diâmetro do velame</t>
  </si>
  <si>
    <t>Cota da altura do velame</t>
  </si>
  <si>
    <t>LINHAS VERMELHAS - ÁREA ÚTIL</t>
  </si>
  <si>
    <t>LINHAS TRACEJADAS - CORTE ✂</t>
  </si>
  <si>
    <t>LINHAS CALCULADAS</t>
  </si>
  <si>
    <t>LINHAS DA ESCALA - GOMO DE 1 m DE DIÂMETRO</t>
  </si>
  <si>
    <t>DIMENSÕES DO GOMO CALCULADO</t>
  </si>
  <si>
    <r>
      <rPr>
        <b/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 xml:space="preserve"> - Comprimento de cada cordim</t>
    </r>
  </si>
  <si>
    <t>Dimensões do cordim</t>
  </si>
  <si>
    <r>
      <rPr>
        <b/>
        <sz val="11"/>
        <color theme="1"/>
        <rFont val="Arial"/>
        <family val="2"/>
      </rPr>
      <t>L/d</t>
    </r>
    <r>
      <rPr>
        <sz val="11"/>
        <color theme="1"/>
        <rFont val="Arial"/>
        <family val="2"/>
      </rPr>
      <t xml:space="preserve"> - Relação L/d</t>
    </r>
  </si>
  <si>
    <t>Relação L/d</t>
  </si>
  <si>
    <r>
      <rPr>
        <b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   - Margem de costura e amarrações</t>
    </r>
  </si>
  <si>
    <r>
      <rPr>
        <b/>
        <sz val="11"/>
        <color theme="1"/>
        <rFont val="Arial"/>
        <family val="2"/>
      </rPr>
      <t>L</t>
    </r>
    <r>
      <rPr>
        <b/>
        <vertAlign val="subscript"/>
        <sz val="11"/>
        <color theme="1"/>
        <rFont val="Arial"/>
        <family val="2"/>
      </rPr>
      <t>c</t>
    </r>
    <r>
      <rPr>
        <vertAlign val="subscript"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Comprimento de corte</t>
    </r>
  </si>
  <si>
    <t>Ângulo formado entre os cordins e o velame</t>
  </si>
  <si>
    <t>CORDINS</t>
  </si>
  <si>
    <t>O valor deve ser superior a 70°</t>
  </si>
  <si>
    <r>
      <t>V</t>
    </r>
    <r>
      <rPr>
        <b/>
        <vertAlign val="subscript"/>
        <sz val="11"/>
        <color theme="0"/>
        <rFont val="Arial"/>
        <family val="2"/>
      </rPr>
      <t>t</t>
    </r>
    <r>
      <rPr>
        <b/>
        <sz val="11"/>
        <color theme="0"/>
        <rFont val="Arial"/>
        <family val="2"/>
      </rPr>
      <t xml:space="preserve"> - Velocidade terminal</t>
    </r>
  </si>
  <si>
    <r>
      <t>C</t>
    </r>
    <r>
      <rPr>
        <b/>
        <vertAlign val="subscript"/>
        <sz val="11"/>
        <color theme="0"/>
        <rFont val="Arial"/>
        <family val="2"/>
      </rPr>
      <t>d</t>
    </r>
    <r>
      <rPr>
        <b/>
        <sz val="11"/>
        <color theme="0"/>
        <rFont val="Arial"/>
        <family val="2"/>
      </rPr>
      <t xml:space="preserve"> - Coeficiente de arrasto do velame </t>
    </r>
  </si>
  <si>
    <t>Massa seca do elemento recuperável</t>
  </si>
  <si>
    <r>
      <rPr>
        <b/>
        <sz val="11"/>
        <color theme="1"/>
        <rFont val="Arial"/>
        <family val="2"/>
      </rPr>
      <t>C</t>
    </r>
    <r>
      <rPr>
        <b/>
        <vertAlign val="subscript"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 xml:space="preserve"> - Coeficiente de arrasto do velame </t>
    </r>
  </si>
  <si>
    <t>As margens nas laterais e abaixo da base do gomo são ~2 cm</t>
  </si>
  <si>
    <r>
      <rPr>
        <b/>
        <sz val="11"/>
        <color theme="1"/>
        <rFont val="Arial"/>
        <family val="2"/>
      </rPr>
      <t>θ</t>
    </r>
    <r>
      <rPr>
        <sz val="11"/>
        <color theme="1"/>
        <rFont val="Arial"/>
        <family val="2"/>
      </rPr>
      <t xml:space="preserve"> - Ângulo formado entre os cordins e a base do velame</t>
    </r>
  </si>
  <si>
    <r>
      <t>Cada cordim deve ter comprimento de no mínimo 1,5 x o d</t>
    </r>
    <r>
      <rPr>
        <i/>
        <vertAlign val="subscript"/>
        <sz val="10"/>
        <color theme="1"/>
        <rFont val="Arial"/>
        <family val="2"/>
      </rPr>
      <t>Velame</t>
    </r>
  </si>
  <si>
    <t>nC</t>
  </si>
  <si>
    <r>
      <rPr>
        <b/>
        <sz val="11"/>
        <color theme="1"/>
        <rFont val="Arial"/>
        <family val="2"/>
      </rPr>
      <t>nC</t>
    </r>
    <r>
      <rPr>
        <sz val="11"/>
        <color theme="1"/>
        <rFont val="Arial"/>
        <family val="2"/>
      </rPr>
      <t xml:space="preserve"> - Número de cordins</t>
    </r>
  </si>
  <si>
    <t>Número de cordins</t>
  </si>
  <si>
    <t>Tração estática em cada cordim</t>
  </si>
  <si>
    <r>
      <t>T</t>
    </r>
    <r>
      <rPr>
        <b/>
        <vertAlign val="subscript"/>
        <sz val="14"/>
        <color theme="0"/>
        <rFont val="Arial"/>
        <family val="2"/>
      </rPr>
      <t>e</t>
    </r>
    <r>
      <rPr>
        <b/>
        <sz val="14"/>
        <color theme="0"/>
        <rFont val="Arial"/>
        <family val="2"/>
      </rPr>
      <t>C</t>
    </r>
  </si>
  <si>
    <r>
      <rPr>
        <b/>
        <sz val="11"/>
        <color theme="1"/>
        <rFont val="Arial"/>
        <family val="2"/>
      </rPr>
      <t>T</t>
    </r>
    <r>
      <rPr>
        <b/>
        <vertAlign val="subscript"/>
        <sz val="11"/>
        <color theme="1"/>
        <rFont val="Arial"/>
        <family val="2"/>
      </rPr>
      <t>e</t>
    </r>
    <r>
      <rPr>
        <b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- Tração estática em cada cordim</t>
    </r>
  </si>
  <si>
    <t>[kgf]</t>
  </si>
  <si>
    <t>Cota do comprimento dos cordins</t>
  </si>
  <si>
    <r>
      <t>〖</t>
    </r>
    <r>
      <rPr>
        <sz val="11"/>
        <color rgb="FF000000"/>
        <rFont val="Cambria Math"/>
        <family val="1"/>
      </rPr>
      <t>A_r=(2 m g ⃗)/(ρ C_d  〖V_t〗^2 ) "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mbria Math"/>
        <family val="1"/>
      </rPr>
      <t>" →A〗_r=</t>
    </r>
    <r>
      <rPr>
        <sz val="11"/>
        <color rgb="FF000000"/>
        <rFont val="Cambria Math"/>
        <family val="1"/>
      </rPr>
      <t>A_p=</t>
    </r>
    <r>
      <rPr>
        <sz val="11"/>
        <color theme="1"/>
        <rFont val="Cambria Math"/>
        <family val="1"/>
      </rPr>
      <t xml:space="preserve">(π d^2)/4→d=√((4 </t>
    </r>
    <r>
      <rPr>
        <sz val="11"/>
        <color rgb="FF000000"/>
        <rFont val="Cambria Math"/>
        <family val="1"/>
      </rPr>
      <t>A_p)/</t>
    </r>
    <r>
      <rPr>
        <sz val="11"/>
        <color theme="1"/>
        <rFont val="Cambria Math"/>
        <family val="1"/>
      </rPr>
      <t>π)</t>
    </r>
  </si>
  <si>
    <r>
      <t xml:space="preserve">Objetivo da Aba: </t>
    </r>
    <r>
      <rPr>
        <sz val="11"/>
        <color theme="1"/>
        <rFont val="Arial"/>
        <family val="2"/>
      </rPr>
      <t>Com a relação L/d desejada, calcular o comprimento útil, o comrpimento de corte e o esforço de tração estática em cada cordim.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Ainda não consideramos esforços dinâmicos relacionados à desaceleração do sistema velame-carga na  implantação.</t>
    </r>
  </si>
  <si>
    <r>
      <t xml:space="preserve">Objetivo da Aba: </t>
    </r>
    <r>
      <rPr>
        <sz val="11"/>
        <color theme="1"/>
        <rFont val="Arial"/>
        <family val="2"/>
      </rPr>
      <t>Determinar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a </t>
    </r>
    <r>
      <rPr>
        <b/>
        <sz val="11"/>
        <color theme="1"/>
        <rFont val="Arial"/>
        <family val="2"/>
      </rPr>
      <t>área de referência (A</t>
    </r>
    <r>
      <rPr>
        <b/>
        <vertAlign val="subscript"/>
        <sz val="11"/>
        <color theme="1"/>
        <rFont val="Arial"/>
        <family val="2"/>
      </rPr>
      <t>r</t>
    </r>
    <r>
      <rPr>
        <b/>
        <sz val="11"/>
        <color theme="1"/>
        <rFont val="Arial"/>
        <family val="2"/>
      </rPr>
      <t>)</t>
    </r>
    <r>
      <rPr>
        <i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correspondente à quantidade de força de arrasto necessária para obter a velocidade terminal escolhida no momento que o sistema descendente velame-carga atinge o Ponto de Projeto.
Com o valor de A</t>
    </r>
    <r>
      <rPr>
        <vertAlign val="subscript"/>
        <sz val="11"/>
        <color theme="1"/>
        <rFont val="Arial"/>
        <family val="2"/>
      </rPr>
      <t>r</t>
    </r>
    <r>
      <rPr>
        <sz val="11"/>
        <color theme="1"/>
        <rFont val="Arial"/>
        <family val="2"/>
      </rPr>
      <t xml:space="preserve"> é possível determinar o </t>
    </r>
    <r>
      <rPr>
        <b/>
        <sz val="11"/>
        <color theme="1"/>
        <rFont val="Arial"/>
        <family val="2"/>
      </rPr>
      <t>diâmetro (d)</t>
    </r>
    <r>
      <rPr>
        <sz val="11"/>
        <color theme="1"/>
        <rFont val="Arial"/>
        <family val="2"/>
      </rPr>
      <t xml:space="preserve"> do velame.</t>
    </r>
  </si>
  <si>
    <r>
      <rPr>
        <b/>
        <sz val="11"/>
        <color theme="1"/>
        <rFont val="Arial"/>
        <family val="2"/>
      </rPr>
      <t>A</t>
    </r>
    <r>
      <rPr>
        <b/>
        <vertAlign val="subscript"/>
        <sz val="11"/>
        <color theme="1"/>
        <rFont val="Arial"/>
        <family val="2"/>
      </rPr>
      <t>r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Área de referência</t>
    </r>
  </si>
  <si>
    <t>A área de referência utilizada será a área projetada do velame</t>
  </si>
  <si>
    <r>
      <rPr>
        <b/>
        <sz val="11"/>
        <color theme="1"/>
        <rFont val="Arial"/>
        <family val="2"/>
      </rPr>
      <t>d</t>
    </r>
    <r>
      <rPr>
        <b/>
        <vertAlign val="subscript"/>
        <sz val="11"/>
        <color theme="1"/>
        <rFont val="Arial"/>
        <family val="2"/>
      </rPr>
      <t xml:space="preserve">vel   </t>
    </r>
    <r>
      <rPr>
        <sz val="11"/>
        <color theme="1"/>
        <rFont val="Arial"/>
        <family val="2"/>
      </rPr>
      <t>- Diâmetro correspondente a A</t>
    </r>
    <r>
      <rPr>
        <vertAlign val="subscript"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=A</t>
    </r>
    <r>
      <rPr>
        <vertAlign val="subscript"/>
        <sz val="11"/>
        <color theme="1"/>
        <rFont val="Arial"/>
        <family val="2"/>
      </rPr>
      <t>r</t>
    </r>
  </si>
  <si>
    <r>
      <rPr>
        <b/>
        <sz val="11"/>
        <color theme="1"/>
        <rFont val="Arial"/>
        <family val="2"/>
      </rPr>
      <t>P</t>
    </r>
    <r>
      <rPr>
        <b/>
        <vertAlign val="subscript"/>
        <sz val="11"/>
        <color theme="1"/>
        <rFont val="Arial"/>
        <family val="2"/>
      </rPr>
      <t>fog</t>
    </r>
    <r>
      <rPr>
        <sz val="11"/>
        <color theme="1"/>
        <rFont val="Arial"/>
        <family val="2"/>
      </rPr>
      <t xml:space="preserve">    - Força Peso equivalente à </t>
    </r>
    <r>
      <rPr>
        <b/>
        <sz val="11"/>
        <color theme="1"/>
        <rFont val="Arial"/>
        <family val="2"/>
      </rPr>
      <t>m</t>
    </r>
    <r>
      <rPr>
        <b/>
        <vertAlign val="subscript"/>
        <sz val="11"/>
        <color theme="1"/>
        <rFont val="Arial"/>
        <family val="2"/>
      </rPr>
      <t>s</t>
    </r>
    <r>
      <rPr>
        <sz val="11"/>
        <color theme="1"/>
        <rFont val="Arial"/>
        <family val="2"/>
      </rPr>
      <t xml:space="preserve"> x </t>
    </r>
    <r>
      <rPr>
        <b/>
        <sz val="11"/>
        <color theme="1"/>
        <rFont val="Arial"/>
        <family val="2"/>
      </rPr>
      <t>g</t>
    </r>
    <r>
      <rPr>
        <b/>
        <vertAlign val="subscript"/>
        <sz val="11"/>
        <color theme="1"/>
        <rFont val="Arial"/>
        <family val="2"/>
      </rPr>
      <t>PP</t>
    </r>
  </si>
  <si>
    <t>Altitude geométrica do PP (ASL)</t>
  </si>
  <si>
    <r>
      <rPr>
        <b/>
        <sz val="11"/>
        <color theme="1"/>
        <rFont val="Arial"/>
        <family val="2"/>
      </rPr>
      <t>ρ</t>
    </r>
    <r>
      <rPr>
        <b/>
        <vertAlign val="subscript"/>
        <sz val="11"/>
        <color theme="1"/>
        <rFont val="Arial"/>
        <family val="2"/>
      </rPr>
      <t xml:space="preserve">Imp </t>
    </r>
    <r>
      <rPr>
        <sz val="11"/>
        <color theme="1"/>
        <rFont val="Arial"/>
        <family val="2"/>
      </rPr>
      <t>- Massa específica do ar no ponto de implantação</t>
    </r>
  </si>
  <si>
    <r>
      <rPr>
        <b/>
        <sz val="11"/>
        <color theme="1"/>
        <rFont val="Arial"/>
        <family val="2"/>
      </rPr>
      <t>g</t>
    </r>
    <r>
      <rPr>
        <b/>
        <vertAlign val="subscript"/>
        <sz val="11"/>
        <color theme="1"/>
        <rFont val="Arial"/>
        <family val="2"/>
      </rPr>
      <t>Imp</t>
    </r>
    <r>
      <rPr>
        <sz val="11"/>
        <color theme="1"/>
        <rFont val="Arial"/>
        <family val="2"/>
      </rPr>
      <t xml:space="preserve"> - Aceleração da gravidade no ponto de implantação</t>
    </r>
  </si>
  <si>
    <t>Ponto de implantação do paraquedas</t>
  </si>
  <si>
    <r>
      <rPr>
        <b/>
        <sz val="11"/>
        <color theme="1"/>
        <rFont val="Arial"/>
        <family val="2"/>
      </rPr>
      <t>H</t>
    </r>
    <r>
      <rPr>
        <b/>
        <vertAlign val="subscript"/>
        <sz val="11"/>
        <color theme="1"/>
        <rFont val="Arial"/>
        <family val="2"/>
      </rPr>
      <t>Imp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Altura acima do solo na qual o paraquedas irá abrir (AGL)</t>
    </r>
  </si>
  <si>
    <r>
      <rPr>
        <b/>
        <sz val="11"/>
        <color theme="1"/>
        <rFont val="Arial"/>
        <family val="2"/>
      </rPr>
      <t>Z</t>
    </r>
    <r>
      <rPr>
        <b/>
        <vertAlign val="subscript"/>
        <sz val="11"/>
        <color theme="1"/>
        <rFont val="Arial"/>
        <family val="2"/>
      </rPr>
      <t>Imp</t>
    </r>
    <r>
      <rPr>
        <sz val="11"/>
        <color theme="1"/>
        <rFont val="Arial"/>
        <family val="2"/>
      </rPr>
      <t xml:space="preserve"> - Altitude do ponto de implantação</t>
    </r>
  </si>
  <si>
    <t>Ponto de projeto</t>
  </si>
  <si>
    <t>Solo - local de lançamento e pouso</t>
  </si>
  <si>
    <r>
      <rPr>
        <b/>
        <sz val="11"/>
        <color theme="1"/>
        <rFont val="Arial"/>
        <family val="2"/>
      </rPr>
      <t>λ</t>
    </r>
    <r>
      <rPr>
        <b/>
        <vertAlign val="subscript"/>
        <sz val="11"/>
        <color theme="1"/>
        <rFont val="Arial"/>
        <family val="2"/>
      </rPr>
      <t>solo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- Latitude do local de lançamento/pouso</t>
    </r>
  </si>
  <si>
    <r>
      <t>ρ</t>
    </r>
    <r>
      <rPr>
        <b/>
        <vertAlign val="subscript"/>
        <sz val="11"/>
        <color theme="1"/>
        <rFont val="Arial"/>
        <family val="2"/>
      </rPr>
      <t>pp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= [ρ</t>
    </r>
    <r>
      <rPr>
        <vertAlign val="subscript"/>
        <sz val="11"/>
        <color theme="1"/>
        <rFont val="Arial"/>
        <family val="2"/>
      </rPr>
      <t xml:space="preserve">solo </t>
    </r>
    <r>
      <rPr>
        <sz val="11"/>
        <color theme="1"/>
        <rFont val="Arial"/>
        <family val="2"/>
      </rPr>
      <t>+ ρ</t>
    </r>
    <r>
      <rPr>
        <vertAlign val="subscript"/>
        <sz val="11"/>
        <color theme="1"/>
        <rFont val="Arial"/>
        <family val="2"/>
      </rPr>
      <t>Imp</t>
    </r>
    <r>
      <rPr>
        <sz val="11"/>
        <color theme="1"/>
        <rFont val="Arial"/>
        <family val="2"/>
      </rPr>
      <t xml:space="preserve">] / 2 </t>
    </r>
  </si>
  <si>
    <r>
      <t>g</t>
    </r>
    <r>
      <rPr>
        <b/>
        <vertAlign val="subscript"/>
        <sz val="11"/>
        <color theme="1"/>
        <rFont val="Arial"/>
        <family val="2"/>
      </rPr>
      <t>pp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= [g</t>
    </r>
    <r>
      <rPr>
        <vertAlign val="subscript"/>
        <sz val="11"/>
        <color theme="1"/>
        <rFont val="Arial"/>
        <family val="2"/>
      </rPr>
      <t xml:space="preserve">solo </t>
    </r>
    <r>
      <rPr>
        <sz val="11"/>
        <color theme="1"/>
        <rFont val="Arial"/>
        <family val="2"/>
      </rPr>
      <t>+ g</t>
    </r>
    <r>
      <rPr>
        <vertAlign val="subscript"/>
        <sz val="11"/>
        <color theme="1"/>
        <rFont val="Arial"/>
        <family val="2"/>
      </rPr>
      <t>Imp</t>
    </r>
    <r>
      <rPr>
        <sz val="11"/>
        <color theme="1"/>
        <rFont val="Arial"/>
        <family val="2"/>
      </rPr>
      <t>] / 2</t>
    </r>
  </si>
  <si>
    <r>
      <rPr>
        <b/>
        <sz val="11"/>
        <color theme="1"/>
        <rFont val="Arial"/>
        <family val="2"/>
      </rPr>
      <t>Z</t>
    </r>
    <r>
      <rPr>
        <b/>
        <vertAlign val="subscript"/>
        <sz val="11"/>
        <color theme="1"/>
        <rFont val="Arial"/>
        <family val="2"/>
      </rPr>
      <t>solo</t>
    </r>
    <r>
      <rPr>
        <sz val="11"/>
        <color theme="1"/>
        <rFont val="Arial"/>
        <family val="2"/>
      </rPr>
      <t xml:space="preserve"> - Altitude  do local de lançamento/pouso (ASL)</t>
    </r>
  </si>
  <si>
    <r>
      <rPr>
        <b/>
        <sz val="11"/>
        <color theme="1"/>
        <rFont val="Arial"/>
        <family val="2"/>
      </rPr>
      <t>m</t>
    </r>
    <r>
      <rPr>
        <b/>
        <vertAlign val="subscript"/>
        <sz val="11"/>
        <color theme="1"/>
        <rFont val="Arial"/>
        <family val="2"/>
      </rPr>
      <t>s</t>
    </r>
    <r>
      <rPr>
        <sz val="11"/>
        <color theme="1"/>
        <rFont val="Arial"/>
        <family val="2"/>
      </rPr>
      <t xml:space="preserve">     - Massa seca do foguete</t>
    </r>
  </si>
  <si>
    <t>Altura do PP (AGL)</t>
  </si>
  <si>
    <r>
      <t>Z</t>
    </r>
    <r>
      <rPr>
        <b/>
        <vertAlign val="subscript"/>
        <sz val="11"/>
        <color theme="1"/>
        <rFont val="Arial"/>
        <family val="2"/>
      </rPr>
      <t>pp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=  Z</t>
    </r>
    <r>
      <rPr>
        <vertAlign val="subscript"/>
        <sz val="11"/>
        <color theme="1"/>
        <rFont val="Arial"/>
        <family val="2"/>
      </rPr>
      <t>solo</t>
    </r>
    <r>
      <rPr>
        <sz val="11"/>
        <color theme="1"/>
        <rFont val="Arial"/>
        <family val="2"/>
      </rPr>
      <t xml:space="preserve"> + H</t>
    </r>
    <r>
      <rPr>
        <vertAlign val="subscript"/>
        <sz val="11"/>
        <color theme="1"/>
        <rFont val="Arial"/>
        <family val="2"/>
      </rPr>
      <t>pp</t>
    </r>
  </si>
  <si>
    <r>
      <t>H</t>
    </r>
    <r>
      <rPr>
        <b/>
        <vertAlign val="subscript"/>
        <sz val="11"/>
        <color theme="1"/>
        <rFont val="Arial"/>
        <family val="2"/>
      </rPr>
      <t>pp</t>
    </r>
    <r>
      <rPr>
        <sz val="11"/>
        <color theme="1"/>
        <rFont val="Arial"/>
        <family val="2"/>
      </rPr>
      <t>= H</t>
    </r>
    <r>
      <rPr>
        <vertAlign val="subscript"/>
        <sz val="11"/>
        <color theme="1"/>
        <rFont val="Arial"/>
        <family val="2"/>
      </rPr>
      <t>Imp</t>
    </r>
    <r>
      <rPr>
        <sz val="11"/>
        <color theme="1"/>
        <rFont val="Arial"/>
        <family val="2"/>
      </rPr>
      <t xml:space="preserve"> / 2</t>
    </r>
  </si>
  <si>
    <t>8 ou 12 - Para velame de diâmetro maior que 1 m é recomendado 12</t>
  </si>
  <si>
    <t>Resultados ruins que demandam ações corretivas.</t>
  </si>
  <si>
    <t>GUIA</t>
  </si>
  <si>
    <t>Separação ou dica.</t>
  </si>
  <si>
    <t>Catalogação</t>
  </si>
  <si>
    <r>
      <t xml:space="preserve">VIEIRA, Mateus. </t>
    </r>
    <r>
      <rPr>
        <b/>
        <sz val="10"/>
        <color theme="1"/>
        <rFont val="Arial"/>
        <family val="2"/>
      </rPr>
      <t>RECm.24:</t>
    </r>
    <r>
      <rPr>
        <sz val="10"/>
        <color theme="1"/>
        <rFont val="Arial"/>
        <family val="2"/>
      </rPr>
      <t xml:space="preserve"> Software de Projeto de Paraquedas Semielíptico. Versão 2. 30 set. 2024. Disponível em: https://sites.google.com/view/rebel-aero/recuperação. Acesso em: 30 set. 2024.
</t>
    </r>
    <r>
      <rPr>
        <i/>
        <sz val="10"/>
        <color theme="1"/>
        <rFont val="Arial"/>
        <family val="2"/>
      </rPr>
      <t xml:space="preserve">No texto: </t>
    </r>
    <r>
      <rPr>
        <sz val="10"/>
        <color theme="1"/>
        <rFont val="Arial"/>
        <family val="2"/>
      </rPr>
      <t xml:space="preserve">                         </t>
    </r>
    <r>
      <rPr>
        <i/>
        <sz val="10"/>
        <color theme="1"/>
        <rFont val="Arial"/>
        <family val="2"/>
      </rPr>
      <t>No final do parágrafo:</t>
    </r>
    <r>
      <rPr>
        <sz val="10"/>
        <color theme="1"/>
        <rFont val="Arial"/>
        <family val="2"/>
      </rPr>
      <t xml:space="preserve">
... Mateus Vieira, 2024      VIEIRA, 2024.</t>
    </r>
  </si>
  <si>
    <r>
      <t xml:space="preserve">Objetivo da Aba: </t>
    </r>
    <r>
      <rPr>
        <sz val="11"/>
        <color theme="1"/>
        <rFont val="Arial"/>
        <family val="2"/>
      </rPr>
      <t>Dimensionar cada gomo de modo que, após costurados, formem o velame semielíptico desejado. As dimensões do gomo são calculadas com base nas</t>
    </r>
    <r>
      <rPr>
        <b/>
        <sz val="11"/>
        <color theme="1"/>
        <rFont val="Arial"/>
        <family val="2"/>
      </rPr>
      <t xml:space="preserve"> escalas</t>
    </r>
    <r>
      <rPr>
        <sz val="11"/>
        <color theme="1"/>
        <rFont val="Arial"/>
        <family val="2"/>
      </rPr>
      <t xml:space="preserve">. Cada gomo deve ser cortado de acordo com as </t>
    </r>
    <r>
      <rPr>
        <b/>
        <sz val="11"/>
        <color theme="1"/>
        <rFont val="Arial"/>
        <family val="2"/>
      </rPr>
      <t>dimensões de corte</t>
    </r>
    <r>
      <rPr>
        <sz val="11"/>
        <color theme="1"/>
        <rFont val="Arial"/>
        <family val="2"/>
      </rPr>
      <t>, as quais levam em consideração a margem para bainha e costura.</t>
    </r>
  </si>
  <si>
    <t>Recomenda-se pelo menos 20 cm de margem em cada cordim</t>
  </si>
  <si>
    <r>
      <t xml:space="preserve">Objetivo da Aba: </t>
    </r>
    <r>
      <rPr>
        <sz val="11"/>
        <color theme="1"/>
        <rFont val="Arial"/>
        <family val="2"/>
      </rPr>
      <t xml:space="preserve">Determinar a dimensão do </t>
    </r>
    <r>
      <rPr>
        <b/>
        <sz val="11"/>
        <color theme="1"/>
        <rFont val="Arial"/>
        <family val="2"/>
      </rPr>
      <t>furo de ventilação</t>
    </r>
    <r>
      <rPr>
        <b/>
        <i/>
        <sz val="11"/>
        <color theme="1"/>
        <rFont val="Arial"/>
        <family val="2"/>
      </rPr>
      <t xml:space="preserve"> (vent hole)</t>
    </r>
    <r>
      <rPr>
        <sz val="11"/>
        <color theme="1"/>
        <rFont val="Arial"/>
        <family val="2"/>
      </rPr>
      <t xml:space="preserve"> localizado no topo do velame</t>
    </r>
    <r>
      <rPr>
        <b/>
        <sz val="11"/>
        <color theme="1"/>
        <rFont val="Arial"/>
        <family val="2"/>
      </rPr>
      <t xml:space="preserve">. </t>
    </r>
    <r>
      <rPr>
        <sz val="11"/>
        <color theme="1"/>
        <rFont val="Arial"/>
        <family val="2"/>
      </rPr>
      <t xml:space="preserve">O </t>
    </r>
    <r>
      <rPr>
        <i/>
        <sz val="11"/>
        <color theme="1"/>
        <rFont val="Arial"/>
        <family val="2"/>
      </rPr>
      <t>vent hole</t>
    </r>
    <r>
      <rPr>
        <sz val="11"/>
        <color theme="1"/>
        <rFont val="Arial"/>
        <family val="2"/>
      </rPr>
      <t xml:space="preserve"> proporciona uma elevação do C</t>
    </r>
    <r>
      <rPr>
        <vertAlign val="subscript"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 xml:space="preserve"> do velame e estabilidade de descida ao sistema velame-carga.</t>
    </r>
  </si>
  <si>
    <t>Dicas</t>
  </si>
  <si>
    <t xml:space="preserve">
Semielipse: sem acento e junto.
Semielíptico: com acento e junto.</t>
  </si>
  <si>
    <r>
      <rPr>
        <b/>
        <sz val="10"/>
        <color theme="1"/>
        <rFont val="Arial"/>
        <family val="2"/>
      </rPr>
      <t xml:space="preserve">Desenvolvido por Mateus Vieira, 2020 - 2025
</t>
    </r>
    <r>
      <rPr>
        <sz val="10"/>
        <color theme="1"/>
        <rFont val="Arial"/>
        <family val="2"/>
      </rPr>
      <t xml:space="preserve">Eng° Aeronáutico e Espacial - PUC Minas | Pesquisador RHAE CNPq
EGN - Escola de Guerra Naval - Marinha do Brasil
Rebel Aerospace | Diretoria
Contato: depaulamateus96@gmail.com
RECm 2020 v1.
RECm 2025 v2.
</t>
    </r>
    <r>
      <rPr>
        <b/>
        <sz val="10"/>
        <color theme="1"/>
        <rFont val="Arial"/>
        <family val="2"/>
      </rPr>
      <t>Agradecimentos:</t>
    </r>
    <r>
      <rPr>
        <sz val="10"/>
        <color theme="1"/>
        <rFont val="Arial"/>
        <family val="2"/>
      </rPr>
      <t xml:space="preserve"> Prof. Me. Silas C. Matos (LJP, BAR); Profª. Drª. Heidi Korzenowski (LJP); Prof. Dr. Carlos H. Marchi (GFCS, UFPR, BAR); Carlos Cássio Oliveira (CEFAB, BAR); Richard Nakka.
</t>
    </r>
    <r>
      <rPr>
        <b/>
        <i/>
        <sz val="10"/>
        <color theme="1"/>
        <rFont val="Arial"/>
        <family val="2"/>
      </rPr>
      <t>A todas as equipes, um ótimo trabalho e bons voos!</t>
    </r>
    <r>
      <rPr>
        <sz val="10"/>
        <color theme="1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</si>
</sst>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0.000"/>
    <numFmt numFmtId="165" formatCode="0.0000"/>
    <numFmt numFmtId="166" formatCode="#,##0.000"/>
    <numFmt numFmtId="167" formatCode="0.0"/>
    <numFmt numFmtId="168" formatCode="0.00000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4"/>
      <color theme="0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9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rgb="FF00B050"/>
      <name val="Arial"/>
      <family val="2"/>
    </font>
    <font>
      <b/>
      <sz val="10"/>
      <name val="Arial"/>
      <family val="2"/>
    </font>
    <font>
      <b/>
      <sz val="16"/>
      <color theme="0"/>
      <name val="Arial"/>
      <family val="2"/>
    </font>
    <font>
      <b/>
      <i/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1"/>
      <color rgb="FF00B050"/>
      <name val="Arial"/>
      <family val="2"/>
    </font>
    <font>
      <b/>
      <vertAlign val="subscript"/>
      <sz val="16"/>
      <color theme="0"/>
      <name val="Arial"/>
      <family val="2"/>
    </font>
    <font>
      <b/>
      <vertAlign val="subscript"/>
      <sz val="14"/>
      <color theme="0"/>
      <name val="Arial"/>
      <family val="2"/>
    </font>
    <font>
      <i/>
      <sz val="11"/>
      <color theme="1"/>
      <name val="Arial"/>
      <family val="2"/>
    </font>
    <font>
      <sz val="8"/>
      <name val="Calibri"/>
      <family val="2"/>
      <scheme val="minor"/>
    </font>
    <font>
      <vertAlign val="subscript"/>
      <sz val="11"/>
      <color theme="1"/>
      <name val="Arial"/>
      <family val="2"/>
    </font>
    <font>
      <b/>
      <sz val="11"/>
      <color theme="1" tint="4.9989318521683403E-2"/>
      <name val="Arial"/>
      <family val="2"/>
    </font>
    <font>
      <b/>
      <vertAlign val="subscript"/>
      <sz val="11"/>
      <color theme="1"/>
      <name val="Arial"/>
      <family val="2"/>
    </font>
    <font>
      <u/>
      <sz val="9"/>
      <color indexed="81"/>
      <name val="Segoe UI"/>
      <family val="2"/>
    </font>
    <font>
      <i/>
      <sz val="9"/>
      <color indexed="81"/>
      <name val="Segoe UI"/>
      <family val="2"/>
    </font>
    <font>
      <i/>
      <sz val="10"/>
      <color theme="1"/>
      <name val="Arial"/>
      <family val="2"/>
    </font>
    <font>
      <b/>
      <sz val="11"/>
      <color rgb="FF006100"/>
      <name val="Arial"/>
      <family val="2"/>
    </font>
    <font>
      <b/>
      <sz val="11"/>
      <color rgb="FF230086"/>
      <name val="Arial"/>
      <family val="2"/>
    </font>
    <font>
      <sz val="11"/>
      <color theme="0" tint="-0.14999847407452621"/>
      <name val="Calibri"/>
      <family val="2"/>
      <scheme val="minor"/>
    </font>
    <font>
      <b/>
      <i/>
      <sz val="10"/>
      <color theme="1"/>
      <name val="Arial"/>
      <family val="2"/>
    </font>
    <font>
      <sz val="20"/>
      <color theme="0"/>
      <name val="Arial"/>
      <family val="2"/>
    </font>
    <font>
      <sz val="11"/>
      <color rgb="FF000000"/>
      <name val="Arial"/>
      <family val="2"/>
    </font>
    <font>
      <sz val="8"/>
      <color theme="2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230086"/>
      <name val="Arial"/>
      <family val="2"/>
    </font>
    <font>
      <b/>
      <sz val="10"/>
      <color theme="1"/>
      <name val="Calibri"/>
      <family val="2"/>
      <scheme val="minor"/>
    </font>
    <font>
      <b/>
      <vertAlign val="subscript"/>
      <sz val="10"/>
      <name val="Arial"/>
      <family val="2"/>
    </font>
    <font>
      <b/>
      <vertAlign val="subscript"/>
      <sz val="10"/>
      <color theme="1"/>
      <name val="Arial"/>
      <family val="2"/>
    </font>
    <font>
      <b/>
      <i/>
      <sz val="11"/>
      <color theme="0"/>
      <name val="Arial"/>
      <family val="2"/>
    </font>
    <font>
      <b/>
      <i/>
      <sz val="9"/>
      <color indexed="81"/>
      <name val="Segoe UI"/>
      <family val="2"/>
    </font>
    <font>
      <b/>
      <sz val="9"/>
      <color theme="1"/>
      <name val="Segoe UI"/>
      <family val="2"/>
    </font>
    <font>
      <sz val="9"/>
      <color theme="1"/>
      <name val="Segoe UI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theme="0" tint="-0.14999847407452621"/>
      <name val="Arial"/>
      <family val="2"/>
    </font>
    <font>
      <i/>
      <vertAlign val="subscript"/>
      <sz val="10"/>
      <color theme="1"/>
      <name val="Arial"/>
      <family val="2"/>
    </font>
    <font>
      <b/>
      <sz val="18"/>
      <color theme="0"/>
      <name val="Arial"/>
      <family val="2"/>
    </font>
    <font>
      <sz val="10"/>
      <color theme="0" tint="-4.9989318521683403E-2"/>
      <name val="Arial"/>
      <family val="2"/>
    </font>
    <font>
      <b/>
      <vertAlign val="subscript"/>
      <sz val="11"/>
      <color theme="0"/>
      <name val="Arial"/>
      <family val="2"/>
    </font>
    <font>
      <sz val="11"/>
      <color rgb="FF000000"/>
      <name val="Cambria Math"/>
      <family val="1"/>
    </font>
    <font>
      <sz val="11"/>
      <color theme="1"/>
      <name val="Cambria Math"/>
      <family val="1"/>
    </font>
    <font>
      <i/>
      <sz val="10"/>
      <color indexed="81"/>
      <name val="Segoe UI"/>
      <family val="2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230086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0033"/>
        <bgColor indexed="64"/>
      </patternFill>
    </fill>
    <fill>
      <patternFill patternType="solid">
        <fgColor rgb="FF100C44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FF85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dashed">
        <color theme="1"/>
      </left>
      <right style="thin">
        <color indexed="64"/>
      </right>
      <top style="dashed">
        <color theme="1"/>
      </top>
      <bottom style="dashed">
        <color theme="1"/>
      </bottom>
      <diagonal/>
    </border>
    <border>
      <left style="thin">
        <color indexed="64"/>
      </left>
      <right style="thin">
        <color indexed="64"/>
      </right>
      <top style="dashed">
        <color theme="1"/>
      </top>
      <bottom style="dashed">
        <color theme="1"/>
      </bottom>
      <diagonal/>
    </border>
    <border>
      <left style="thin">
        <color indexed="64"/>
      </left>
      <right style="dashed">
        <color theme="1"/>
      </right>
      <top style="dashed">
        <color theme="1"/>
      </top>
      <bottom style="dashed">
        <color theme="1"/>
      </bottom>
      <diagonal/>
    </border>
  </borders>
  <cellStyleXfs count="1">
    <xf numFmtId="0" fontId="0" fillId="0" borderId="0"/>
  </cellStyleXfs>
  <cellXfs count="42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11" fillId="5" borderId="1" xfId="0" applyNumberFormat="1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19" fillId="4" borderId="0" xfId="0" applyFont="1" applyFill="1"/>
    <xf numFmtId="0" fontId="19" fillId="0" borderId="0" xfId="0" applyFont="1"/>
    <xf numFmtId="2" fontId="2" fillId="0" borderId="1" xfId="0" applyNumberFormat="1" applyFont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19" fillId="3" borderId="0" xfId="0" applyFont="1" applyFill="1"/>
    <xf numFmtId="0" fontId="0" fillId="3" borderId="0" xfId="0" applyFill="1"/>
    <xf numFmtId="0" fontId="0" fillId="8" borderId="0" xfId="0" applyFill="1"/>
    <xf numFmtId="164" fontId="18" fillId="11" borderId="1" xfId="0" applyNumberFormat="1" applyFont="1" applyFill="1" applyBorder="1" applyAlignment="1">
      <alignment horizontal="right" vertical="center"/>
    </xf>
    <xf numFmtId="1" fontId="24" fillId="0" borderId="1" xfId="0" applyNumberFormat="1" applyFont="1" applyBorder="1" applyAlignment="1" applyProtection="1">
      <alignment horizontal="right" vertical="center"/>
      <protection locked="0"/>
    </xf>
    <xf numFmtId="165" fontId="18" fillId="0" borderId="0" xfId="0" applyNumberFormat="1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11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24" fillId="0" borderId="1" xfId="0" applyNumberFormat="1" applyFont="1" applyBorder="1" applyAlignment="1" applyProtection="1">
      <alignment horizontal="right" vertical="center"/>
      <protection locked="0"/>
    </xf>
    <xf numFmtId="1" fontId="18" fillId="11" borderId="1" xfId="0" applyNumberFormat="1" applyFont="1" applyFill="1" applyBorder="1" applyAlignment="1">
      <alignment horizontal="right" vertical="center"/>
    </xf>
    <xf numFmtId="0" fontId="1" fillId="0" borderId="14" xfId="0" applyFont="1" applyBorder="1" applyAlignment="1">
      <alignment horizontal="center"/>
    </xf>
    <xf numFmtId="0" fontId="1" fillId="10" borderId="14" xfId="0" applyFont="1" applyFill="1" applyBorder="1" applyAlignment="1">
      <alignment horizontal="center"/>
    </xf>
    <xf numFmtId="1" fontId="1" fillId="13" borderId="14" xfId="0" applyNumberFormat="1" applyFont="1" applyFill="1" applyBorder="1" applyAlignment="1">
      <alignment horizontal="center"/>
    </xf>
    <xf numFmtId="0" fontId="18" fillId="11" borderId="1" xfId="0" applyFont="1" applyFill="1" applyBorder="1" applyAlignment="1">
      <alignment horizontal="left" indent="1"/>
    </xf>
    <xf numFmtId="0" fontId="34" fillId="0" borderId="13" xfId="0" applyFont="1" applyBorder="1" applyAlignment="1">
      <alignment horizontal="left" indent="1"/>
    </xf>
    <xf numFmtId="0" fontId="34" fillId="0" borderId="15" xfId="0" applyFont="1" applyBorder="1" applyAlignment="1">
      <alignment horizontal="left" indent="1"/>
    </xf>
    <xf numFmtId="164" fontId="18" fillId="11" borderId="1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8" fillId="0" borderId="0" xfId="0" applyFont="1" applyAlignment="1">
      <alignment horizontal="right"/>
    </xf>
    <xf numFmtId="1" fontId="18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0" fontId="18" fillId="0" borderId="14" xfId="0" applyFont="1" applyBorder="1" applyAlignment="1">
      <alignment horizontal="center"/>
    </xf>
    <xf numFmtId="1" fontId="18" fillId="0" borderId="14" xfId="0" applyNumberFormat="1" applyFont="1" applyBorder="1" applyAlignment="1">
      <alignment horizontal="center"/>
    </xf>
    <xf numFmtId="2" fontId="18" fillId="0" borderId="14" xfId="0" applyNumberFormat="1" applyFont="1" applyBorder="1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" fillId="0" borderId="0" xfId="0" applyFont="1" applyAlignment="1">
      <alignment horizontal="left" vertical="center" indent="1"/>
    </xf>
    <xf numFmtId="164" fontId="18" fillId="0" borderId="0" xfId="0" applyNumberFormat="1" applyFont="1" applyAlignment="1">
      <alignment horizontal="right" vertical="center"/>
    </xf>
    <xf numFmtId="0" fontId="1" fillId="11" borderId="8" xfId="0" applyFont="1" applyFill="1" applyBorder="1" applyAlignment="1">
      <alignment horizontal="center" vertical="center"/>
    </xf>
    <xf numFmtId="164" fontId="18" fillId="11" borderId="8" xfId="0" applyNumberFormat="1" applyFont="1" applyFill="1" applyBorder="1" applyAlignment="1">
      <alignment horizontal="right" vertical="center"/>
    </xf>
    <xf numFmtId="166" fontId="18" fillId="11" borderId="1" xfId="0" applyNumberFormat="1" applyFont="1" applyFill="1" applyBorder="1" applyAlignment="1">
      <alignment horizontal="right" vertical="center"/>
    </xf>
    <xf numFmtId="164" fontId="18" fillId="11" borderId="1" xfId="0" applyNumberFormat="1" applyFont="1" applyFill="1" applyBorder="1"/>
    <xf numFmtId="0" fontId="1" fillId="11" borderId="1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right" vertical="center"/>
    </xf>
    <xf numFmtId="164" fontId="30" fillId="11" borderId="1" xfId="0" applyNumberFormat="1" applyFont="1" applyFill="1" applyBorder="1" applyAlignment="1">
      <alignment horizontal="right" vertical="center"/>
    </xf>
    <xf numFmtId="0" fontId="17" fillId="14" borderId="0" xfId="0" applyFont="1" applyFill="1" applyAlignment="1">
      <alignment vertical="center"/>
    </xf>
    <xf numFmtId="0" fontId="17" fillId="14" borderId="0" xfId="0" applyFont="1" applyFill="1" applyAlignment="1">
      <alignment horizontal="center" vertical="center"/>
    </xf>
    <xf numFmtId="164" fontId="18" fillId="0" borderId="14" xfId="0" applyNumberFormat="1" applyFont="1" applyBorder="1" applyAlignment="1">
      <alignment horizontal="center"/>
    </xf>
    <xf numFmtId="2" fontId="24" fillId="0" borderId="0" xfId="0" applyNumberFormat="1" applyFont="1" applyAlignment="1">
      <alignment horizontal="center"/>
    </xf>
    <xf numFmtId="0" fontId="20" fillId="14" borderId="0" xfId="0" applyFont="1" applyFill="1" applyAlignment="1">
      <alignment horizontal="left" vertical="center" indent="1"/>
    </xf>
    <xf numFmtId="0" fontId="20" fillId="14" borderId="0" xfId="0" applyFont="1" applyFill="1" applyAlignment="1">
      <alignment vertical="center"/>
    </xf>
    <xf numFmtId="0" fontId="0" fillId="14" borderId="0" xfId="0" applyFill="1"/>
    <xf numFmtId="0" fontId="17" fillId="14" borderId="2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17" fillId="14" borderId="7" xfId="0" applyFont="1" applyFill="1" applyBorder="1" applyAlignment="1">
      <alignment vertical="center"/>
    </xf>
    <xf numFmtId="0" fontId="5" fillId="14" borderId="0" xfId="0" applyFont="1" applyFill="1" applyAlignment="1">
      <alignment horizontal="left" vertical="center" indent="1"/>
    </xf>
    <xf numFmtId="0" fontId="5" fillId="14" borderId="2" xfId="0" applyFont="1" applyFill="1" applyBorder="1" applyAlignment="1">
      <alignment horizontal="left" vertical="center" indent="1"/>
    </xf>
    <xf numFmtId="0" fontId="12" fillId="6" borderId="1" xfId="0" applyFont="1" applyFill="1" applyBorder="1" applyAlignment="1">
      <alignment horizontal="center" vertical="center"/>
    </xf>
    <xf numFmtId="0" fontId="0" fillId="17" borderId="0" xfId="0" applyFill="1"/>
    <xf numFmtId="2" fontId="2" fillId="5" borderId="0" xfId="0" applyNumberFormat="1" applyFont="1" applyFill="1" applyAlignment="1">
      <alignment horizontal="center" vertical="center"/>
    </xf>
    <xf numFmtId="164" fontId="35" fillId="9" borderId="8" xfId="0" applyNumberFormat="1" applyFont="1" applyFill="1" applyBorder="1" applyAlignment="1">
      <alignment horizontal="right" vertical="center"/>
    </xf>
    <xf numFmtId="164" fontId="35" fillId="9" borderId="1" xfId="0" applyNumberFormat="1" applyFont="1" applyFill="1" applyBorder="1" applyAlignment="1">
      <alignment horizontal="right" vertical="center"/>
    </xf>
    <xf numFmtId="0" fontId="18" fillId="0" borderId="0" xfId="0" applyFont="1" applyAlignment="1">
      <alignment vertical="center"/>
    </xf>
    <xf numFmtId="164" fontId="36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top" wrapText="1"/>
    </xf>
    <xf numFmtId="0" fontId="18" fillId="0" borderId="0" xfId="0" applyFont="1"/>
    <xf numFmtId="0" fontId="37" fillId="0" borderId="0" xfId="0" applyFont="1"/>
    <xf numFmtId="0" fontId="1" fillId="0" borderId="13" xfId="0" applyFont="1" applyBorder="1" applyAlignment="1">
      <alignment vertical="top"/>
    </xf>
    <xf numFmtId="0" fontId="1" fillId="0" borderId="14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5" borderId="0" xfId="0" applyFont="1" applyFill="1" applyAlignment="1">
      <alignment vertical="center" wrapText="1"/>
    </xf>
    <xf numFmtId="0" fontId="40" fillId="5" borderId="0" xfId="0" applyFont="1" applyFill="1" applyAlignment="1">
      <alignment horizontal="left" vertical="center" wrapText="1" indent="1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16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12" fillId="16" borderId="1" xfId="0" applyFont="1" applyFill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3" fillId="0" borderId="17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14" fillId="0" borderId="17" xfId="0" applyFont="1" applyBorder="1" applyAlignment="1">
      <alignment horizontal="left" vertical="center" indent="1"/>
    </xf>
    <xf numFmtId="0" fontId="12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164" fontId="41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5" borderId="0" xfId="0" applyFont="1" applyFill="1" applyAlignment="1">
      <alignment vertical="center"/>
    </xf>
    <xf numFmtId="0" fontId="0" fillId="5" borderId="0" xfId="0" applyFill="1"/>
    <xf numFmtId="0" fontId="6" fillId="5" borderId="0" xfId="0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7" fillId="7" borderId="1" xfId="0" applyFont="1" applyFill="1" applyBorder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42" fillId="0" borderId="0" xfId="0" applyFont="1" applyAlignment="1">
      <alignment horizontal="left" indent="1"/>
    </xf>
    <xf numFmtId="0" fontId="44" fillId="0" borderId="0" xfId="0" applyFont="1" applyAlignment="1">
      <alignment horizontal="left" indent="1"/>
    </xf>
    <xf numFmtId="164" fontId="2" fillId="0" borderId="0" xfId="0" applyNumberFormat="1" applyFont="1" applyAlignment="1">
      <alignment horizontal="center" vertical="center"/>
    </xf>
    <xf numFmtId="1" fontId="2" fillId="11" borderId="1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/>
    </xf>
    <xf numFmtId="1" fontId="2" fillId="11" borderId="1" xfId="0" applyNumberFormat="1" applyFont="1" applyFill="1" applyBorder="1" applyAlignment="1">
      <alignment horizontal="left" vertical="center" indent="1"/>
    </xf>
    <xf numFmtId="0" fontId="2" fillId="11" borderId="1" xfId="0" applyFont="1" applyFill="1" applyBorder="1" applyAlignment="1">
      <alignment horizontal="left" indent="1"/>
    </xf>
    <xf numFmtId="0" fontId="2" fillId="11" borderId="1" xfId="0" applyFont="1" applyFill="1" applyBorder="1" applyAlignment="1">
      <alignment horizontal="center"/>
    </xf>
    <xf numFmtId="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/>
    </xf>
    <xf numFmtId="164" fontId="0" fillId="0" borderId="0" xfId="0" applyNumberFormat="1"/>
    <xf numFmtId="0" fontId="15" fillId="0" borderId="0" xfId="0" applyFont="1" applyAlignment="1">
      <alignment vertical="center"/>
    </xf>
    <xf numFmtId="0" fontId="14" fillId="0" borderId="0" xfId="0" applyFont="1" applyAlignment="1">
      <alignment horizontal="left" vertical="center" indent="1"/>
    </xf>
    <xf numFmtId="164" fontId="2" fillId="5" borderId="0" xfId="0" applyNumberFormat="1" applyFont="1" applyFill="1" applyAlignment="1">
      <alignment horizontal="center" vertical="center"/>
    </xf>
    <xf numFmtId="0" fontId="14" fillId="0" borderId="1" xfId="0" applyFont="1" applyBorder="1" applyAlignment="1">
      <alignment horizontal="left" vertical="center" indent="1"/>
    </xf>
    <xf numFmtId="2" fontId="11" fillId="5" borderId="0" xfId="0" applyNumberFormat="1" applyFont="1" applyFill="1" applyAlignment="1">
      <alignment horizontal="center" vertical="center"/>
    </xf>
    <xf numFmtId="0" fontId="11" fillId="5" borderId="0" xfId="0" applyFont="1" applyFill="1"/>
    <xf numFmtId="0" fontId="2" fillId="5" borderId="0" xfId="0" applyFont="1" applyFill="1"/>
    <xf numFmtId="0" fontId="14" fillId="11" borderId="17" xfId="0" applyFont="1" applyFill="1" applyBorder="1" applyAlignment="1">
      <alignment horizontal="left" vertical="center" indent="1"/>
    </xf>
    <xf numFmtId="164" fontId="2" fillId="11" borderId="17" xfId="0" applyNumberFormat="1" applyFont="1" applyFill="1" applyBorder="1" applyAlignment="1">
      <alignment horizontal="center" vertical="center"/>
    </xf>
    <xf numFmtId="0" fontId="3" fillId="11" borderId="17" xfId="0" applyFont="1" applyFill="1" applyBorder="1" applyAlignment="1">
      <alignment horizontal="left" vertical="center" indent="1"/>
    </xf>
    <xf numFmtId="0" fontId="3" fillId="11" borderId="1" xfId="0" applyFont="1" applyFill="1" applyBorder="1" applyAlignment="1">
      <alignment horizontal="left" vertical="center" indent="1"/>
    </xf>
    <xf numFmtId="0" fontId="12" fillId="0" borderId="0" xfId="0" applyFont="1" applyAlignment="1">
      <alignment vertical="center" wrapText="1"/>
    </xf>
    <xf numFmtId="0" fontId="12" fillId="6" borderId="8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left" vertical="center" indent="1"/>
    </xf>
    <xf numFmtId="0" fontId="12" fillId="6" borderId="1" xfId="0" applyFont="1" applyFill="1" applyBorder="1" applyAlignment="1">
      <alignment horizontal="left" vertical="center" indent="1"/>
    </xf>
    <xf numFmtId="164" fontId="11" fillId="0" borderId="1" xfId="0" applyNumberFormat="1" applyFont="1" applyBorder="1" applyAlignment="1">
      <alignment horizontal="center" vertical="center"/>
    </xf>
    <xf numFmtId="0" fontId="12" fillId="16" borderId="8" xfId="0" applyFont="1" applyFill="1" applyBorder="1" applyAlignment="1">
      <alignment horizontal="center" vertical="center"/>
    </xf>
    <xf numFmtId="0" fontId="12" fillId="16" borderId="8" xfId="0" applyFont="1" applyFill="1" applyBorder="1" applyAlignment="1">
      <alignment horizontal="left" vertical="center" indent="1"/>
    </xf>
    <xf numFmtId="0" fontId="1" fillId="5" borderId="0" xfId="0" applyFont="1" applyFill="1" applyAlignment="1">
      <alignment horizontal="left" vertical="center" wrapText="1" indent="1"/>
    </xf>
    <xf numFmtId="0" fontId="53" fillId="0" borderId="0" xfId="0" applyFont="1"/>
    <xf numFmtId="0" fontId="53" fillId="0" borderId="0" xfId="0" applyFont="1" applyAlignment="1">
      <alignment horizontal="left" vertical="center" indent="1"/>
    </xf>
    <xf numFmtId="0" fontId="18" fillId="0" borderId="0" xfId="0" applyFont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0" fontId="39" fillId="0" borderId="0" xfId="0" applyFont="1" applyAlignment="1">
      <alignment vertical="center"/>
    </xf>
    <xf numFmtId="164" fontId="30" fillId="0" borderId="0" xfId="0" applyNumberFormat="1" applyFont="1" applyAlignment="1">
      <alignment horizontal="right" vertical="center"/>
    </xf>
    <xf numFmtId="0" fontId="53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56" fillId="0" borderId="0" xfId="0" applyFont="1" applyAlignment="1">
      <alignment horizontal="left" vertical="center" indent="1"/>
    </xf>
    <xf numFmtId="164" fontId="56" fillId="0" borderId="0" xfId="0" applyNumberFormat="1" applyFont="1" applyAlignment="1">
      <alignment horizontal="center" vertical="center"/>
    </xf>
    <xf numFmtId="0" fontId="34" fillId="5" borderId="0" xfId="0" applyFont="1" applyFill="1" applyAlignment="1">
      <alignment horizontal="left" vertical="center" indent="1"/>
    </xf>
    <xf numFmtId="0" fontId="1" fillId="5" borderId="0" xfId="0" applyFont="1" applyFill="1" applyAlignment="1">
      <alignment horizontal="center" vertical="center"/>
    </xf>
    <xf numFmtId="167" fontId="24" fillId="5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164" fontId="0" fillId="0" borderId="0" xfId="0" applyNumberFormat="1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0" fontId="0" fillId="0" borderId="0" xfId="0" applyProtection="1">
      <protection locked="0"/>
    </xf>
    <xf numFmtId="0" fontId="17" fillId="14" borderId="0" xfId="0" applyFont="1" applyFill="1" applyAlignment="1" applyProtection="1">
      <alignment vertical="center"/>
      <protection locked="0"/>
    </xf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12" xfId="0" applyBorder="1"/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/>
    <xf numFmtId="0" fontId="0" fillId="0" borderId="7" xfId="0" applyBorder="1"/>
    <xf numFmtId="0" fontId="2" fillId="0" borderId="0" xfId="0" applyFont="1" applyAlignment="1" applyProtection="1">
      <alignment vertical="center" wrapText="1"/>
      <protection locked="0"/>
    </xf>
    <xf numFmtId="0" fontId="2" fillId="0" borderId="11" xfId="0" applyFont="1" applyBorder="1" applyAlignment="1" applyProtection="1">
      <alignment horizontal="left" vertical="top" wrapText="1" indent="1"/>
      <protection locked="0"/>
    </xf>
    <xf numFmtId="0" fontId="2" fillId="0" borderId="9" xfId="0" applyFont="1" applyBorder="1" applyAlignment="1" applyProtection="1">
      <alignment horizontal="left" vertical="top" wrapText="1" indent="1"/>
      <protection locked="0"/>
    </xf>
    <xf numFmtId="0" fontId="2" fillId="0" borderId="12" xfId="0" applyFont="1" applyBorder="1" applyAlignment="1" applyProtection="1">
      <alignment horizontal="left" vertical="top" wrapText="1" indent="1"/>
      <protection locked="0"/>
    </xf>
    <xf numFmtId="0" fontId="2" fillId="0" borderId="7" xfId="0" applyFont="1" applyBorder="1" applyAlignment="1" applyProtection="1">
      <alignment horizontal="left" vertical="top" wrapText="1" indent="1"/>
      <protection locked="0"/>
    </xf>
    <xf numFmtId="0" fontId="2" fillId="0" borderId="0" xfId="0" applyFont="1" applyAlignment="1" applyProtection="1">
      <alignment horizontal="left" vertical="top" wrapText="1" indent="1"/>
      <protection locked="0"/>
    </xf>
    <xf numFmtId="0" fontId="2" fillId="0" borderId="3" xfId="0" applyFont="1" applyBorder="1" applyAlignment="1" applyProtection="1">
      <alignment horizontal="left" vertical="top" wrapText="1" indent="1"/>
      <protection locked="0"/>
    </xf>
    <xf numFmtId="0" fontId="2" fillId="0" borderId="13" xfId="0" applyFont="1" applyBorder="1" applyAlignment="1" applyProtection="1">
      <alignment horizontal="left" vertical="top" wrapText="1" indent="1"/>
      <protection locked="0"/>
    </xf>
    <xf numFmtId="0" fontId="2" fillId="0" borderId="14" xfId="0" applyFont="1" applyBorder="1" applyAlignment="1" applyProtection="1">
      <alignment horizontal="left" vertical="top" wrapText="1" indent="1"/>
      <protection locked="0"/>
    </xf>
    <xf numFmtId="0" fontId="2" fillId="0" borderId="15" xfId="0" applyFont="1" applyBorder="1" applyAlignment="1" applyProtection="1">
      <alignment horizontal="left" vertical="top" wrapText="1" indent="1"/>
      <protection locked="0"/>
    </xf>
    <xf numFmtId="0" fontId="0" fillId="0" borderId="11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18" fillId="0" borderId="7" xfId="0" applyFont="1" applyBorder="1" applyAlignment="1">
      <alignment horizontal="left" indent="1"/>
    </xf>
    <xf numFmtId="0" fontId="18" fillId="0" borderId="0" xfId="0" applyFont="1" applyAlignment="1">
      <alignment horizontal="left" indent="1"/>
    </xf>
    <xf numFmtId="0" fontId="18" fillId="0" borderId="3" xfId="0" applyFont="1" applyBorder="1" applyAlignment="1">
      <alignment horizontal="left" indent="1"/>
    </xf>
    <xf numFmtId="0" fontId="2" fillId="0" borderId="7" xfId="0" applyFont="1" applyBorder="1" applyAlignment="1">
      <alignment horizontal="left" vertical="top" wrapText="1" indent="1"/>
    </xf>
    <xf numFmtId="0" fontId="2" fillId="0" borderId="0" xfId="0" applyFont="1" applyAlignment="1">
      <alignment horizontal="left" vertical="top" wrapText="1" indent="1"/>
    </xf>
    <xf numFmtId="0" fontId="2" fillId="0" borderId="3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left" vertical="top" wrapText="1" indent="1"/>
    </xf>
    <xf numFmtId="0" fontId="2" fillId="0" borderId="14" xfId="0" applyFont="1" applyBorder="1" applyAlignment="1">
      <alignment horizontal="left" vertical="top" wrapText="1" indent="1"/>
    </xf>
    <xf numFmtId="0" fontId="2" fillId="0" borderId="15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center" wrapText="1" indent="1"/>
    </xf>
    <xf numFmtId="0" fontId="2" fillId="0" borderId="9" xfId="0" applyFont="1" applyBorder="1" applyAlignment="1">
      <alignment horizontal="left" vertical="center" wrapText="1" indent="1"/>
    </xf>
    <xf numFmtId="0" fontId="2" fillId="0" borderId="12" xfId="0" applyFont="1" applyBorder="1" applyAlignment="1">
      <alignment horizontal="left" vertical="center" wrapText="1" indent="1"/>
    </xf>
    <xf numFmtId="0" fontId="2" fillId="0" borderId="13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vertical="center" wrapText="1" indent="1"/>
    </xf>
    <xf numFmtId="0" fontId="2" fillId="0" borderId="15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2" fillId="0" borderId="11" xfId="0" applyFont="1" applyBorder="1" applyAlignment="1" applyProtection="1">
      <alignment horizontal="left" vertical="center" wrapText="1" indent="1"/>
      <protection locked="0"/>
    </xf>
    <xf numFmtId="0" fontId="2" fillId="0" borderId="9" xfId="0" applyFont="1" applyBorder="1" applyAlignment="1" applyProtection="1">
      <alignment horizontal="left" vertical="center" wrapText="1" indent="1"/>
      <protection locked="0"/>
    </xf>
    <xf numFmtId="0" fontId="2" fillId="0" borderId="12" xfId="0" applyFont="1" applyBorder="1" applyAlignment="1" applyProtection="1">
      <alignment horizontal="left" vertical="center" wrapText="1" indent="1"/>
      <protection locked="0"/>
    </xf>
    <xf numFmtId="0" fontId="2" fillId="0" borderId="7" xfId="0" applyFont="1" applyBorder="1" applyAlignment="1" applyProtection="1">
      <alignment horizontal="left" vertical="center" wrapText="1" indent="1"/>
      <protection locked="0"/>
    </xf>
    <xf numFmtId="0" fontId="2" fillId="0" borderId="0" xfId="0" applyFont="1" applyAlignment="1" applyProtection="1">
      <alignment horizontal="left" vertical="center" wrapText="1" indent="1"/>
      <protection locked="0"/>
    </xf>
    <xf numFmtId="0" fontId="2" fillId="0" borderId="3" xfId="0" applyFont="1" applyBorder="1" applyAlignment="1" applyProtection="1">
      <alignment horizontal="left" vertical="center" wrapText="1" indent="1"/>
      <protection locked="0"/>
    </xf>
    <xf numFmtId="0" fontId="2" fillId="0" borderId="13" xfId="0" applyFont="1" applyBorder="1" applyAlignment="1" applyProtection="1">
      <alignment horizontal="left" vertical="center" wrapText="1" indent="1"/>
      <protection locked="0"/>
    </xf>
    <xf numFmtId="0" fontId="2" fillId="0" borderId="14" xfId="0" applyFont="1" applyBorder="1" applyAlignment="1" applyProtection="1">
      <alignment horizontal="left" vertical="center" wrapText="1" indent="1"/>
      <protection locked="0"/>
    </xf>
    <xf numFmtId="0" fontId="2" fillId="0" borderId="15" xfId="0" applyFont="1" applyBorder="1" applyAlignment="1" applyProtection="1">
      <alignment horizontal="left" vertical="center" wrapText="1" indent="1"/>
      <protection locked="0"/>
    </xf>
    <xf numFmtId="0" fontId="18" fillId="0" borderId="1" xfId="0" applyFont="1" applyBorder="1" applyAlignment="1">
      <alignment horizontal="center" vertical="center"/>
    </xf>
    <xf numFmtId="2" fontId="34" fillId="0" borderId="1" xfId="0" applyNumberFormat="1" applyFont="1" applyBorder="1" applyAlignment="1">
      <alignment horizontal="left" vertical="center" indent="1"/>
    </xf>
    <xf numFmtId="0" fontId="34" fillId="0" borderId="1" xfId="0" applyFont="1" applyBorder="1" applyAlignment="1">
      <alignment horizontal="left" vertical="center" wrapText="1" indent="1"/>
    </xf>
    <xf numFmtId="0" fontId="6" fillId="10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64" fontId="18" fillId="11" borderId="1" xfId="0" applyNumberFormat="1" applyFont="1" applyFill="1" applyBorder="1" applyAlignment="1">
      <alignment horizontal="center" vertical="center"/>
    </xf>
    <xf numFmtId="164" fontId="35" fillId="9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15" borderId="4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left" vertical="center" indent="1"/>
    </xf>
    <xf numFmtId="0" fontId="1" fillId="11" borderId="10" xfId="0" applyFont="1" applyFill="1" applyBorder="1" applyAlignment="1">
      <alignment horizontal="left" vertical="center" indent="1"/>
    </xf>
    <xf numFmtId="0" fontId="1" fillId="11" borderId="6" xfId="0" applyFont="1" applyFill="1" applyBorder="1" applyAlignment="1">
      <alignment horizontal="left" vertical="center" indent="1"/>
    </xf>
    <xf numFmtId="0" fontId="6" fillId="7" borderId="1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" fontId="24" fillId="0" borderId="4" xfId="0" applyNumberFormat="1" applyFont="1" applyBorder="1" applyAlignment="1" applyProtection="1">
      <alignment horizontal="right" vertical="center"/>
      <protection locked="0"/>
    </xf>
    <xf numFmtId="1" fontId="24" fillId="0" borderId="8" xfId="0" applyNumberFormat="1" applyFont="1" applyBorder="1" applyAlignment="1" applyProtection="1">
      <alignment horizontal="right" vertical="center"/>
      <protection locked="0"/>
    </xf>
    <xf numFmtId="0" fontId="5" fillId="15" borderId="4" xfId="0" applyFont="1" applyFill="1" applyBorder="1" applyAlignment="1">
      <alignment horizontal="center" vertical="center"/>
    </xf>
    <xf numFmtId="0" fontId="5" fillId="15" borderId="16" xfId="0" applyFont="1" applyFill="1" applyBorder="1" applyAlignment="1">
      <alignment horizontal="center" vertical="center"/>
    </xf>
    <xf numFmtId="0" fontId="5" fillId="15" borderId="8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34" fillId="0" borderId="13" xfId="0" applyFont="1" applyBorder="1" applyAlignment="1">
      <alignment horizontal="left" wrapText="1" indent="1"/>
    </xf>
    <xf numFmtId="0" fontId="34" fillId="0" borderId="14" xfId="0" applyFont="1" applyBorder="1" applyAlignment="1">
      <alignment horizontal="left" wrapText="1" indent="1"/>
    </xf>
    <xf numFmtId="0" fontId="34" fillId="0" borderId="15" xfId="0" applyFont="1" applyBorder="1" applyAlignment="1">
      <alignment horizontal="left" wrapText="1" indent="1"/>
    </xf>
    <xf numFmtId="0" fontId="1" fillId="11" borderId="5" xfId="0" applyFont="1" applyFill="1" applyBorder="1" applyAlignment="1">
      <alignment horizontal="left" indent="1"/>
    </xf>
    <xf numFmtId="0" fontId="1" fillId="11" borderId="10" xfId="0" applyFont="1" applyFill="1" applyBorder="1" applyAlignment="1">
      <alignment horizontal="left" indent="1"/>
    </xf>
    <xf numFmtId="0" fontId="1" fillId="11" borderId="6" xfId="0" applyFont="1" applyFill="1" applyBorder="1" applyAlignment="1">
      <alignment horizontal="left" indent="1"/>
    </xf>
    <xf numFmtId="0" fontId="5" fillId="15" borderId="12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 wrapText="1"/>
    </xf>
    <xf numFmtId="0" fontId="6" fillId="15" borderId="12" xfId="0" applyFont="1" applyFill="1" applyBorder="1" applyAlignment="1">
      <alignment horizontal="center" vertical="center" wrapText="1"/>
    </xf>
    <xf numFmtId="0" fontId="6" fillId="15" borderId="3" xfId="0" applyFont="1" applyFill="1" applyBorder="1" applyAlignment="1">
      <alignment horizontal="center" vertical="center" wrapText="1"/>
    </xf>
    <xf numFmtId="0" fontId="17" fillId="15" borderId="12" xfId="0" applyFont="1" applyFill="1" applyBorder="1" applyAlignment="1">
      <alignment horizontal="center" vertical="center" wrapText="1"/>
    </xf>
    <xf numFmtId="0" fontId="17" fillId="15" borderId="3" xfId="0" applyFont="1" applyFill="1" applyBorder="1" applyAlignment="1">
      <alignment horizontal="center" vertical="center" wrapText="1"/>
    </xf>
    <xf numFmtId="0" fontId="17" fillId="15" borderId="0" xfId="0" applyFont="1" applyFill="1" applyAlignment="1">
      <alignment horizontal="center" vertical="center" wrapText="1"/>
    </xf>
    <xf numFmtId="0" fontId="1" fillId="0" borderId="11" xfId="0" applyFont="1" applyBorder="1" applyAlignment="1">
      <alignment horizontal="left" indent="1"/>
    </xf>
    <xf numFmtId="0" fontId="1" fillId="0" borderId="9" xfId="0" applyFont="1" applyBorder="1" applyAlignment="1">
      <alignment horizontal="left" indent="1"/>
    </xf>
    <xf numFmtId="0" fontId="1" fillId="0" borderId="12" xfId="0" applyFont="1" applyBorder="1" applyAlignment="1">
      <alignment horizontal="left" indent="1"/>
    </xf>
    <xf numFmtId="0" fontId="6" fillId="16" borderId="11" xfId="0" applyFont="1" applyFill="1" applyBorder="1" applyAlignment="1">
      <alignment horizontal="center" vertical="center"/>
    </xf>
    <xf numFmtId="0" fontId="6" fillId="16" borderId="9" xfId="0" applyFont="1" applyFill="1" applyBorder="1" applyAlignment="1">
      <alignment horizontal="center" vertical="center"/>
    </xf>
    <xf numFmtId="0" fontId="6" fillId="16" borderId="12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5" fillId="15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left" vertical="center" indent="1"/>
    </xf>
    <xf numFmtId="0" fontId="1" fillId="0" borderId="6" xfId="0" applyFont="1" applyBorder="1" applyAlignment="1">
      <alignment horizontal="left" vertical="center" indent="1"/>
    </xf>
    <xf numFmtId="0" fontId="1" fillId="11" borderId="6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 indent="1"/>
    </xf>
    <xf numFmtId="0" fontId="1" fillId="5" borderId="10" xfId="0" applyFont="1" applyFill="1" applyBorder="1" applyAlignment="1">
      <alignment horizontal="left" vertical="center" indent="1"/>
    </xf>
    <xf numFmtId="0" fontId="1" fillId="5" borderId="6" xfId="0" applyFont="1" applyFill="1" applyBorder="1" applyAlignment="1">
      <alignment horizontal="left" vertical="center" indent="1"/>
    </xf>
    <xf numFmtId="0" fontId="5" fillId="15" borderId="12" xfId="0" applyFont="1" applyFill="1" applyBorder="1" applyAlignment="1">
      <alignment horizontal="center" vertical="center"/>
    </xf>
    <xf numFmtId="0" fontId="5" fillId="15" borderId="3" xfId="0" applyFont="1" applyFill="1" applyBorder="1" applyAlignment="1">
      <alignment horizontal="center" vertical="center"/>
    </xf>
    <xf numFmtId="164" fontId="35" fillId="9" borderId="1" xfId="0" applyNumberFormat="1" applyFont="1" applyFill="1" applyBorder="1" applyAlignment="1">
      <alignment horizontal="right" vertical="center"/>
    </xf>
    <xf numFmtId="0" fontId="24" fillId="0" borderId="4" xfId="0" applyFont="1" applyBorder="1" applyAlignment="1" applyProtection="1">
      <alignment horizontal="right" vertical="center"/>
      <protection locked="0"/>
    </xf>
    <xf numFmtId="0" fontId="24" fillId="0" borderId="8" xfId="0" applyFont="1" applyBorder="1" applyAlignment="1" applyProtection="1">
      <alignment horizontal="right" vertical="center"/>
      <protection locked="0"/>
    </xf>
    <xf numFmtId="0" fontId="18" fillId="2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indent="1"/>
    </xf>
    <xf numFmtId="0" fontId="6" fillId="6" borderId="4" xfId="0" applyFont="1" applyFill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 indent="1"/>
    </xf>
    <xf numFmtId="0" fontId="18" fillId="17" borderId="0" xfId="0" applyFont="1" applyFill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left" vertical="center" wrapText="1" indent="1"/>
    </xf>
    <xf numFmtId="0" fontId="1" fillId="11" borderId="1" xfId="0" applyFont="1" applyFill="1" applyBorder="1" applyAlignment="1">
      <alignment horizontal="left" vertical="center" indent="1"/>
    </xf>
    <xf numFmtId="0" fontId="1" fillId="12" borderId="11" xfId="0" applyFont="1" applyFill="1" applyBorder="1" applyAlignment="1">
      <alignment horizontal="left" wrapText="1" indent="1"/>
    </xf>
    <xf numFmtId="0" fontId="1" fillId="12" borderId="9" xfId="0" applyFont="1" applyFill="1" applyBorder="1" applyAlignment="1">
      <alignment horizontal="left" wrapText="1" indent="1"/>
    </xf>
    <xf numFmtId="0" fontId="1" fillId="12" borderId="12" xfId="0" applyFont="1" applyFill="1" applyBorder="1" applyAlignment="1">
      <alignment horizontal="left" wrapText="1" indent="1"/>
    </xf>
    <xf numFmtId="0" fontId="34" fillId="12" borderId="13" xfId="0" applyFont="1" applyFill="1" applyBorder="1" applyAlignment="1">
      <alignment horizontal="left" wrapText="1" indent="1"/>
    </xf>
    <xf numFmtId="0" fontId="34" fillId="12" borderId="14" xfId="0" applyFont="1" applyFill="1" applyBorder="1" applyAlignment="1">
      <alignment horizontal="left" wrapText="1" indent="1"/>
    </xf>
    <xf numFmtId="0" fontId="34" fillId="12" borderId="15" xfId="0" applyFont="1" applyFill="1" applyBorder="1" applyAlignment="1">
      <alignment horizontal="left" wrapText="1" indent="1"/>
    </xf>
    <xf numFmtId="0" fontId="1" fillId="5" borderId="11" xfId="0" applyFont="1" applyFill="1" applyBorder="1" applyAlignment="1">
      <alignment horizontal="left" wrapText="1" indent="1"/>
    </xf>
    <xf numFmtId="0" fontId="1" fillId="5" borderId="9" xfId="0" applyFont="1" applyFill="1" applyBorder="1" applyAlignment="1">
      <alignment horizontal="left" wrapText="1" indent="1"/>
    </xf>
    <xf numFmtId="0" fontId="1" fillId="5" borderId="12" xfId="0" applyFont="1" applyFill="1" applyBorder="1" applyAlignment="1">
      <alignment horizontal="left" wrapText="1" indent="1"/>
    </xf>
    <xf numFmtId="0" fontId="34" fillId="5" borderId="13" xfId="0" applyFont="1" applyFill="1" applyBorder="1" applyAlignment="1">
      <alignment horizontal="left" wrapText="1" indent="1"/>
    </xf>
    <xf numFmtId="0" fontId="34" fillId="5" borderId="14" xfId="0" applyFont="1" applyFill="1" applyBorder="1" applyAlignment="1">
      <alignment horizontal="left" wrapText="1" indent="1"/>
    </xf>
    <xf numFmtId="0" fontId="34" fillId="5" borderId="15" xfId="0" applyFont="1" applyFill="1" applyBorder="1" applyAlignment="1">
      <alignment horizontal="left" wrapText="1" indent="1"/>
    </xf>
    <xf numFmtId="0" fontId="34" fillId="5" borderId="13" xfId="0" applyFont="1" applyFill="1" applyBorder="1" applyAlignment="1">
      <alignment horizontal="left" indent="1"/>
    </xf>
    <xf numFmtId="0" fontId="34" fillId="5" borderId="14" xfId="0" applyFont="1" applyFill="1" applyBorder="1" applyAlignment="1">
      <alignment horizontal="left" indent="1"/>
    </xf>
    <xf numFmtId="0" fontId="34" fillId="5" borderId="15" xfId="0" applyFont="1" applyFill="1" applyBorder="1" applyAlignment="1">
      <alignment horizontal="left" indent="1"/>
    </xf>
    <xf numFmtId="0" fontId="18" fillId="0" borderId="1" xfId="0" applyFont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24" fillId="5" borderId="4" xfId="0" applyFont="1" applyFill="1" applyBorder="1" applyAlignment="1" applyProtection="1">
      <alignment horizontal="right" vertical="center"/>
      <protection locked="0"/>
    </xf>
    <xf numFmtId="0" fontId="24" fillId="5" borderId="8" xfId="0" applyFont="1" applyFill="1" applyBorder="1" applyAlignment="1" applyProtection="1">
      <alignment horizontal="right" vertical="center"/>
      <protection locked="0"/>
    </xf>
    <xf numFmtId="1" fontId="24" fillId="5" borderId="4" xfId="0" applyNumberFormat="1" applyFont="1" applyFill="1" applyBorder="1" applyAlignment="1" applyProtection="1">
      <alignment horizontal="right" vertical="center"/>
      <protection locked="0"/>
    </xf>
    <xf numFmtId="1" fontId="24" fillId="5" borderId="8" xfId="0" applyNumberFormat="1" applyFont="1" applyFill="1" applyBorder="1" applyAlignment="1" applyProtection="1">
      <alignment horizontal="right" vertical="center"/>
      <protection locked="0"/>
    </xf>
    <xf numFmtId="0" fontId="1" fillId="5" borderId="12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21" fillId="15" borderId="4" xfId="0" applyFont="1" applyFill="1" applyBorder="1" applyAlignment="1">
      <alignment horizontal="center" vertical="center"/>
    </xf>
    <xf numFmtId="0" fontId="21" fillId="15" borderId="16" xfId="0" applyFont="1" applyFill="1" applyBorder="1" applyAlignment="1">
      <alignment horizontal="center" vertical="center"/>
    </xf>
    <xf numFmtId="0" fontId="21" fillId="15" borderId="8" xfId="0" applyFont="1" applyFill="1" applyBorder="1" applyAlignment="1">
      <alignment horizontal="center" vertical="center"/>
    </xf>
    <xf numFmtId="0" fontId="39" fillId="15" borderId="4" xfId="0" applyFont="1" applyFill="1" applyBorder="1" applyAlignment="1">
      <alignment horizontal="center" vertical="center"/>
    </xf>
    <xf numFmtId="0" fontId="39" fillId="15" borderId="16" xfId="0" applyFont="1" applyFill="1" applyBorder="1" applyAlignment="1">
      <alignment horizontal="center" vertical="center"/>
    </xf>
    <xf numFmtId="0" fontId="39" fillId="15" borderId="8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left" indent="1"/>
    </xf>
    <xf numFmtId="0" fontId="1" fillId="5" borderId="9" xfId="0" applyFont="1" applyFill="1" applyBorder="1" applyAlignment="1">
      <alignment horizontal="left" indent="1"/>
    </xf>
    <xf numFmtId="0" fontId="1" fillId="5" borderId="12" xfId="0" applyFont="1" applyFill="1" applyBorder="1" applyAlignment="1">
      <alignment horizontal="left" indent="1"/>
    </xf>
    <xf numFmtId="0" fontId="12" fillId="0" borderId="0" xfId="0" applyFont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3" fillId="5" borderId="1" xfId="0" applyNumberFormat="1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3" fillId="5" borderId="5" xfId="0" applyNumberFormat="1" applyFont="1" applyFill="1" applyBorder="1" applyAlignment="1">
      <alignment horizontal="center" vertical="center"/>
    </xf>
    <xf numFmtId="2" fontId="3" fillId="5" borderId="6" xfId="0" applyNumberFormat="1" applyFont="1" applyFill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left" indent="1"/>
    </xf>
    <xf numFmtId="0" fontId="34" fillId="0" borderId="14" xfId="0" applyFont="1" applyBorder="1" applyAlignment="1">
      <alignment horizontal="left" indent="1"/>
    </xf>
    <xf numFmtId="0" fontId="34" fillId="0" borderId="15" xfId="0" applyFont="1" applyBorder="1" applyAlignment="1">
      <alignment horizontal="left" indent="1"/>
    </xf>
    <xf numFmtId="0" fontId="1" fillId="0" borderId="11" xfId="0" applyFont="1" applyBorder="1" applyAlignment="1">
      <alignment horizontal="left" wrapText="1" indent="1"/>
    </xf>
    <xf numFmtId="0" fontId="1" fillId="0" borderId="9" xfId="0" applyFont="1" applyBorder="1" applyAlignment="1">
      <alignment horizontal="left" wrapText="1" indent="1"/>
    </xf>
    <xf numFmtId="0" fontId="1" fillId="0" borderId="12" xfId="0" applyFont="1" applyBorder="1" applyAlignment="1">
      <alignment horizontal="left" wrapText="1" indent="1"/>
    </xf>
    <xf numFmtId="0" fontId="2" fillId="0" borderId="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 wrapText="1" indent="1"/>
    </xf>
    <xf numFmtId="0" fontId="18" fillId="0" borderId="9" xfId="0" applyFont="1" applyBorder="1" applyAlignment="1">
      <alignment horizontal="left" vertical="center" wrapText="1" indent="1"/>
    </xf>
    <xf numFmtId="0" fontId="18" fillId="0" borderId="12" xfId="0" applyFont="1" applyBorder="1" applyAlignment="1">
      <alignment horizontal="left" vertical="center" wrapText="1" indent="1"/>
    </xf>
    <xf numFmtId="0" fontId="18" fillId="0" borderId="7" xfId="0" applyFont="1" applyBorder="1" applyAlignment="1">
      <alignment horizontal="left" vertical="center" wrapText="1" indent="1"/>
    </xf>
    <xf numFmtId="0" fontId="18" fillId="0" borderId="0" xfId="0" applyFont="1" applyAlignment="1">
      <alignment horizontal="left" vertical="center" wrapText="1" indent="1"/>
    </xf>
    <xf numFmtId="0" fontId="18" fillId="0" borderId="3" xfId="0" applyFont="1" applyBorder="1" applyAlignment="1">
      <alignment horizontal="left" vertical="center" wrapText="1" indent="1"/>
    </xf>
    <xf numFmtId="0" fontId="18" fillId="0" borderId="13" xfId="0" applyFont="1" applyBorder="1" applyAlignment="1">
      <alignment horizontal="left" vertical="center" wrapText="1" indent="1"/>
    </xf>
    <xf numFmtId="0" fontId="18" fillId="0" borderId="14" xfId="0" applyFont="1" applyBorder="1" applyAlignment="1">
      <alignment horizontal="left" vertical="center" wrapText="1" indent="1"/>
    </xf>
    <xf numFmtId="0" fontId="18" fillId="0" borderId="15" xfId="0" applyFont="1" applyBorder="1" applyAlignment="1">
      <alignment horizontal="left" vertical="center" wrapText="1" indent="1"/>
    </xf>
    <xf numFmtId="0" fontId="1" fillId="11" borderId="1" xfId="0" applyFont="1" applyFill="1" applyBorder="1" applyAlignment="1">
      <alignment horizontal="center" vertical="center"/>
    </xf>
    <xf numFmtId="164" fontId="18" fillId="11" borderId="1" xfId="0" applyNumberFormat="1" applyFont="1" applyFill="1" applyBorder="1" applyAlignment="1">
      <alignment horizontal="right" vertical="center"/>
    </xf>
    <xf numFmtId="0" fontId="55" fillId="15" borderId="12" xfId="0" applyFont="1" applyFill="1" applyBorder="1" applyAlignment="1">
      <alignment horizontal="center" vertical="center"/>
    </xf>
    <xf numFmtId="0" fontId="55" fillId="1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left" vertical="center" wrapText="1" indent="1"/>
    </xf>
    <xf numFmtId="0" fontId="1" fillId="5" borderId="9" xfId="0" applyFont="1" applyFill="1" applyBorder="1" applyAlignment="1">
      <alignment horizontal="left" vertical="center" wrapText="1" indent="1"/>
    </xf>
    <xf numFmtId="0" fontId="1" fillId="5" borderId="12" xfId="0" applyFont="1" applyFill="1" applyBorder="1" applyAlignment="1">
      <alignment horizontal="left" vertical="center" wrapText="1" indent="1"/>
    </xf>
    <xf numFmtId="0" fontId="1" fillId="11" borderId="11" xfId="0" applyFont="1" applyFill="1" applyBorder="1" applyAlignment="1">
      <alignment horizontal="left" indent="1"/>
    </xf>
    <xf numFmtId="0" fontId="1" fillId="11" borderId="9" xfId="0" applyFont="1" applyFill="1" applyBorder="1" applyAlignment="1">
      <alignment horizontal="left" indent="1"/>
    </xf>
    <xf numFmtId="0" fontId="1" fillId="11" borderId="12" xfId="0" applyFont="1" applyFill="1" applyBorder="1" applyAlignment="1">
      <alignment horizontal="left" indent="1"/>
    </xf>
    <xf numFmtId="0" fontId="34" fillId="11" borderId="13" xfId="0" applyFont="1" applyFill="1" applyBorder="1" applyAlignment="1">
      <alignment horizontal="left" indent="1"/>
    </xf>
    <xf numFmtId="0" fontId="34" fillId="11" borderId="14" xfId="0" applyFont="1" applyFill="1" applyBorder="1" applyAlignment="1">
      <alignment horizontal="left" indent="1"/>
    </xf>
    <xf numFmtId="0" fontId="34" fillId="11" borderId="15" xfId="0" applyFont="1" applyFill="1" applyBorder="1" applyAlignment="1">
      <alignment horizontal="left" indent="1"/>
    </xf>
    <xf numFmtId="0" fontId="1" fillId="5" borderId="11" xfId="0" applyFont="1" applyFill="1" applyBorder="1" applyAlignment="1">
      <alignment horizontal="left" vertical="center" indent="1"/>
    </xf>
    <xf numFmtId="0" fontId="1" fillId="5" borderId="9" xfId="0" applyFont="1" applyFill="1" applyBorder="1" applyAlignment="1">
      <alignment horizontal="left" vertical="center" indent="1"/>
    </xf>
    <xf numFmtId="0" fontId="1" fillId="5" borderId="12" xfId="0" applyFont="1" applyFill="1" applyBorder="1" applyAlignment="1">
      <alignment horizontal="left" vertical="center" indent="1"/>
    </xf>
    <xf numFmtId="167" fontId="24" fillId="5" borderId="4" xfId="0" applyNumberFormat="1" applyFont="1" applyFill="1" applyBorder="1" applyAlignment="1" applyProtection="1">
      <alignment horizontal="right" vertical="center"/>
      <protection locked="0"/>
    </xf>
    <xf numFmtId="167" fontId="24" fillId="5" borderId="8" xfId="0" applyNumberFormat="1" applyFont="1" applyFill="1" applyBorder="1" applyAlignment="1" applyProtection="1">
      <alignment horizontal="right" vertical="center"/>
      <protection locked="0"/>
    </xf>
    <xf numFmtId="2" fontId="2" fillId="0" borderId="0" xfId="0" applyNumberFormat="1" applyFont="1" applyAlignment="1">
      <alignment horizontal="center" vertical="center"/>
    </xf>
    <xf numFmtId="0" fontId="12" fillId="7" borderId="0" xfId="0" applyFont="1" applyFill="1" applyAlignment="1">
      <alignment horizontal="center" vertical="center" wrapText="1"/>
    </xf>
    <xf numFmtId="0" fontId="12" fillId="7" borderId="1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1" fillId="5" borderId="1" xfId="0" applyFont="1" applyFill="1" applyBorder="1" applyAlignment="1">
      <alignment horizontal="left" vertical="center" wrapText="1" indent="1"/>
    </xf>
    <xf numFmtId="164" fontId="2" fillId="11" borderId="1" xfId="0" applyNumberFormat="1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color theme="0"/>
      </font>
      <fill>
        <patternFill>
          <bgColor rgb="FFFF0000"/>
        </patternFill>
      </fill>
    </dxf>
  </dxfs>
  <tableStyles count="1" defaultTableStyle="TableStyleMedium2" defaultPivotStyle="PivotStyleLight16">
    <tableStyle name="Estilo de Tabela 1" pivot="0" count="0" xr9:uid="{00000000-0011-0000-FFFF-FFFF00000000}"/>
  </tableStyles>
  <colors>
    <mruColors>
      <color rgb="FF92D050"/>
      <color rgb="FF006100"/>
      <color rgb="FF230086"/>
      <color rgb="FF757171"/>
      <color rgb="FF000033"/>
      <color rgb="FF100C44"/>
      <color rgb="FFFF0066"/>
      <color rgb="FFFF8585"/>
      <color rgb="FFFF7979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0/relationships/richValueRel" Target="richData/richValueRel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/>
              <a:t>Variação da V</a:t>
            </a:r>
            <a:r>
              <a:rPr lang="pt-BR" sz="1200" b="1" baseline="-25000"/>
              <a:t>t</a:t>
            </a:r>
            <a:r>
              <a:rPr lang="pt-BR" sz="1200" b="1"/>
              <a:t> com</a:t>
            </a:r>
            <a:r>
              <a:rPr lang="pt-BR" sz="1200" b="1" baseline="0"/>
              <a:t> a</a:t>
            </a:r>
            <a:r>
              <a:rPr lang="pt-BR" sz="1200" b="1"/>
              <a:t> altura AGL</a:t>
            </a:r>
          </a:p>
        </c:rich>
      </c:tx>
      <c:layout>
        <c:manualLayout>
          <c:xMode val="edge"/>
          <c:yMode val="edge"/>
          <c:x val="0.29119049929717267"/>
          <c:y val="2.70881366459480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4332865978002107"/>
          <c:y val="0.21937856376876447"/>
          <c:w val="0.81342487616941994"/>
          <c:h val="0.65654691163926193"/>
        </c:manualLayout>
      </c:layout>
      <c:scatterChart>
        <c:scatterStyle val="smoothMarker"/>
        <c:varyColors val="0"/>
        <c:ser>
          <c:idx val="0"/>
          <c:order val="0"/>
          <c:tx>
            <c:v> Apogeu até implantação</c:v>
          </c:tx>
          <c:spPr>
            <a:ln w="158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3A59-457C-9A40-CD510B91DB9B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rgbClr val="FFC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BFA1-4FB4-AA5D-51099EBCF5D2}"/>
              </c:ext>
            </c:extLst>
          </c:dPt>
          <c:dLbls>
            <c:dLbl>
              <c:idx val="0"/>
              <c:layout>
                <c:manualLayout>
                  <c:x val="-0.1437313772295436"/>
                  <c:y val="2.060635114273433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r">
                      <a:defRPr sz="900" b="0" i="0" u="none" strike="noStrike" kern="1200" baseline="0">
                        <a:solidFill>
                          <a:schemeClr val="tx1"/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 sz="900">
                        <a:solidFill>
                          <a:srgbClr val="FF0000"/>
                        </a:solidFill>
                      </a:rPr>
                      <a:t>APOGEU</a:t>
                    </a:r>
                  </a:p>
                  <a:p>
                    <a:pPr algn="r">
                      <a:defRPr/>
                    </a:pPr>
                    <a:r>
                      <a:rPr lang="en-US" sz="900"/>
                      <a:t>Vt:</a:t>
                    </a:r>
                    <a:r>
                      <a:rPr lang="en-US" sz="900" baseline="0"/>
                      <a:t> </a:t>
                    </a:r>
                    <a:fld id="{9CE052F6-B356-4625-9346-493B8D7BC937}" type="XVALUE">
                      <a:rPr lang="en-US" sz="900"/>
                      <a:pPr algn="r">
                        <a:defRPr/>
                      </a:pPr>
                      <a:t>[VALOR X]</a:t>
                    </a:fld>
                    <a:r>
                      <a:rPr lang="en-US" sz="900"/>
                      <a:t> m/s</a:t>
                    </a:r>
                    <a:endParaRPr lang="en-US" sz="900" baseline="0"/>
                  </a:p>
                  <a:p>
                    <a:pPr algn="r">
                      <a:defRPr/>
                    </a:pPr>
                    <a:r>
                      <a:rPr lang="en-US" sz="900"/>
                      <a:t>H:</a:t>
                    </a:r>
                    <a:r>
                      <a:rPr lang="en-US" sz="900" baseline="0"/>
                      <a:t> </a:t>
                    </a:r>
                    <a:fld id="{C0AB7050-53DC-42E8-8D00-342D141C7179}" type="YVALUE">
                      <a:rPr lang="en-US" sz="900"/>
                      <a:pPr algn="r">
                        <a:defRPr/>
                      </a:pPr>
                      <a:t>[VALOR Y]</a:t>
                    </a:fld>
                    <a:r>
                      <a:rPr lang="en-US" sz="900"/>
                      <a:t> m</a:t>
                    </a:r>
                  </a:p>
                  <a:p>
                    <a:pPr algn="r">
                      <a:defRPr/>
                    </a:pPr>
                    <a:r>
                      <a:rPr lang="en-US" sz="900"/>
                      <a:t>Z</a:t>
                    </a:r>
                    <a:r>
                      <a:rPr lang="en-US" sz="900" baseline="0"/>
                      <a:t>: </a:t>
                    </a:r>
                    <a:fld id="{4131230A-1DD1-4B69-AEA4-3364DE79B797}" type="CELLREF">
                      <a:rPr lang="en-US" sz="900" baseline="0"/>
                      <a:pPr algn="r">
                        <a:defRPr/>
                      </a:pPr>
                      <a:t>[CELLREF]</a:t>
                    </a:fld>
                    <a:r>
                      <a:rPr lang="en-US" sz="900" baseline="0"/>
                      <a:t> m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r">
                    <a:defRPr sz="9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034797521439928"/>
                      <c:h val="0.14345350473953625"/>
                    </c:manualLayout>
                  </c15:layout>
                  <c15:dlblFieldTable>
                    <c15:dlblFTEntry>
                      <c15:txfldGUID>{4131230A-1DD1-4B69-AEA4-3364DE79B797}</c15:txfldGUID>
                      <c15:f>Dimensionamento!$AX$12</c15:f>
                      <c15:dlblFieldTableCache>
                        <c:ptCount val="1"/>
                        <c:pt idx="0">
                          <c:v>3000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2-3A59-457C-9A40-CD510B91DB9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FA1-4FB4-AA5D-51099EBCF5D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FA1-4FB4-AA5D-51099EBCF5D2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FA1-4FB4-AA5D-51099EBCF5D2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FA1-4FB4-AA5D-51099EBCF5D2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FA1-4FB4-AA5D-51099EBCF5D2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FA1-4FB4-AA5D-51099EBCF5D2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FA1-4FB4-AA5D-51099EBCF5D2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FA1-4FB4-AA5D-51099EBCF5D2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FA1-4FB4-AA5D-51099EBCF5D2}"/>
                </c:ext>
              </c:extLst>
            </c:dLbl>
            <c:dLbl>
              <c:idx val="10"/>
              <c:layout>
                <c:manualLayout>
                  <c:x val="-2.0788972437796167E-2"/>
                  <c:y val="-9.149285287865194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l">
                      <a:defRPr sz="900" b="0" i="0" u="none" strike="noStrike" kern="1200" baseline="0">
                        <a:solidFill>
                          <a:schemeClr val="tx1"/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>
                        <a:solidFill>
                          <a:schemeClr val="accent4"/>
                        </a:solidFill>
                      </a:rPr>
                      <a:t>IMPLANTAÇÃO</a:t>
                    </a:r>
                  </a:p>
                  <a:p>
                    <a:pPr algn="l">
                      <a:defRPr/>
                    </a:pPr>
                    <a:r>
                      <a:rPr lang="en-US"/>
                      <a:t>Vt: </a:t>
                    </a:r>
                    <a:fld id="{2832137D-23A4-465E-B7D6-7E0B0A3FFFFE}" type="XVALUE">
                      <a:rPr lang="en-US"/>
                      <a:pPr algn="l">
                        <a:defRPr/>
                      </a:pPr>
                      <a:t>[VALOR X]</a:t>
                    </a:fld>
                    <a:r>
                      <a:rPr lang="en-US"/>
                      <a:t> m/s</a:t>
                    </a:r>
                    <a:endParaRPr lang="en-US" baseline="0"/>
                  </a:p>
                  <a:p>
                    <a:pPr algn="l">
                      <a:defRPr/>
                    </a:pPr>
                    <a:r>
                      <a:rPr lang="en-US"/>
                      <a:t>H: </a:t>
                    </a:r>
                    <a:fld id="{73BC19AB-240E-4EB5-9B06-28CE147CDB06}" type="YVALUE">
                      <a:rPr lang="en-US"/>
                      <a:pPr algn="l">
                        <a:defRPr/>
                      </a:pPr>
                      <a:t>[VALOR Y]</a:t>
                    </a:fld>
                    <a:r>
                      <a:rPr lang="en-US"/>
                      <a:t> m</a:t>
                    </a:r>
                  </a:p>
                  <a:p>
                    <a:pPr algn="l">
                      <a:defRPr/>
                    </a:pPr>
                    <a:r>
                      <a:rPr lang="en-US"/>
                      <a:t>Z</a:t>
                    </a:r>
                    <a:r>
                      <a:rPr lang="en-US" baseline="0"/>
                      <a:t>: </a:t>
                    </a:r>
                    <a:fld id="{886D3E55-7555-44A2-9472-3386F0721DD2}" type="CELLREF">
                      <a:rPr lang="en-US" baseline="0"/>
                      <a:pPr algn="l">
                        <a:defRPr/>
                      </a:pPr>
                      <a:t>[CELLREF]</a:t>
                    </a:fld>
                    <a:r>
                      <a:rPr lang="en-US" baseline="0"/>
                      <a:t> m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l">
                    <a:defRPr sz="9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0902671452835095"/>
                      <c:h val="0.14565023850681225"/>
                    </c:manualLayout>
                  </c15:layout>
                  <c15:dlblFieldTable>
                    <c15:dlblFTEntry>
                      <c15:txfldGUID>{886D3E55-7555-44A2-9472-3386F0721DD2}</c15:txfldGUID>
                      <c15:f>Dimensionamento!$AX$22</c15:f>
                      <c15:dlblFieldTableCache>
                        <c:ptCount val="1"/>
                        <c:pt idx="0">
                          <c:v>2000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BFA1-4FB4-AA5D-51099EBCF5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Dimensionamento!$BF$12:$BF$22</c:f>
              <c:numCache>
                <c:formatCode>0.00</c:formatCode>
                <c:ptCount val="11"/>
                <c:pt idx="0">
                  <c:v>166.81233874597788</c:v>
                </c:pt>
                <c:pt idx="1">
                  <c:v>165.87854721455639</c:v>
                </c:pt>
                <c:pt idx="2">
                  <c:v>164.94998283196946</c:v>
                </c:pt>
                <c:pt idx="3">
                  <c:v>164.026616338313</c:v>
                </c:pt>
                <c:pt idx="4">
                  <c:v>163.10841863746765</c:v>
                </c:pt>
                <c:pt idx="5">
                  <c:v>162.19536079618237</c:v>
                </c:pt>
                <c:pt idx="6">
                  <c:v>161.2874140431625</c:v>
                </c:pt>
                <c:pt idx="7">
                  <c:v>160.3845497681634</c:v>
                </c:pt>
                <c:pt idx="8">
                  <c:v>159.48673952108879</c:v>
                </c:pt>
                <c:pt idx="9">
                  <c:v>158.59395501109461</c:v>
                </c:pt>
                <c:pt idx="10">
                  <c:v>7.4276413092805909</c:v>
                </c:pt>
              </c:numCache>
            </c:numRef>
          </c:xVal>
          <c:yVal>
            <c:numRef>
              <c:f>Dimensionamento!$AY$12:$AY$22</c:f>
              <c:numCache>
                <c:formatCode>0</c:formatCode>
                <c:ptCount val="11"/>
                <c:pt idx="0">
                  <c:v>3000</c:v>
                </c:pt>
                <c:pt idx="1">
                  <c:v>2900</c:v>
                </c:pt>
                <c:pt idx="2">
                  <c:v>2800</c:v>
                </c:pt>
                <c:pt idx="3">
                  <c:v>2700</c:v>
                </c:pt>
                <c:pt idx="4">
                  <c:v>2600</c:v>
                </c:pt>
                <c:pt idx="5">
                  <c:v>2500</c:v>
                </c:pt>
                <c:pt idx="6">
                  <c:v>2400</c:v>
                </c:pt>
                <c:pt idx="7">
                  <c:v>2300</c:v>
                </c:pt>
                <c:pt idx="8">
                  <c:v>2200</c:v>
                </c:pt>
                <c:pt idx="9">
                  <c:v>2100</c:v>
                </c:pt>
                <c:pt idx="10">
                  <c:v>2000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A61-4E8E-9B5C-A0F1C385C18E}"/>
            </c:ext>
          </c:extLst>
        </c:ser>
        <c:ser>
          <c:idx val="1"/>
          <c:order val="1"/>
          <c:tx>
            <c:v> Implantação até PP</c:v>
          </c:tx>
          <c:spPr>
            <a:ln w="158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Pt>
            <c:idx val="10"/>
            <c:marker>
              <c:symbol val="circle"/>
              <c:size val="5"/>
              <c:spPr>
                <a:solidFill>
                  <a:srgbClr val="00B05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08B9-44E9-8751-1FC376615155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4C0-4520-80DC-FA103E629BA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4C0-4520-80DC-FA103E629BA9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4C0-4520-80DC-FA103E629BA9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4C0-4520-80DC-FA103E629BA9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4C0-4520-80DC-FA103E629BA9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4C0-4520-80DC-FA103E629BA9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4C0-4520-80DC-FA103E629BA9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4C0-4520-80DC-FA103E629BA9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4C0-4520-80DC-FA103E629BA9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4C0-4520-80DC-FA103E629BA9}"/>
                </c:ext>
              </c:extLst>
            </c:dLbl>
            <c:dLbl>
              <c:idx val="10"/>
              <c:layout>
                <c:manualLayout>
                  <c:x val="1.9357437110436623E-2"/>
                  <c:y val="2.9329698283974838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l">
                      <a:defRPr sz="900" b="0" i="0" u="none" strike="noStrike" kern="1200" baseline="0">
                        <a:solidFill>
                          <a:schemeClr val="tx1"/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/>
                      <a:t>PONTO DE PROJETO</a:t>
                    </a:r>
                  </a:p>
                  <a:p>
                    <a:pPr algn="l">
                      <a:defRPr/>
                    </a:pPr>
                    <a:r>
                      <a:rPr lang="en-US"/>
                      <a:t>Vt:</a:t>
                    </a:r>
                    <a:r>
                      <a:rPr lang="en-US" baseline="0"/>
                      <a:t> </a:t>
                    </a:r>
                    <a:fld id="{0AF64965-D42A-415D-8F4C-F47AF35F360C}" type="XVALUE">
                      <a:rPr lang="en-US"/>
                      <a:pPr algn="l">
                        <a:defRPr/>
                      </a:pPr>
                      <a:t>[VALOR X]</a:t>
                    </a:fld>
                    <a:r>
                      <a:rPr lang="en-US"/>
                      <a:t> m/s</a:t>
                    </a:r>
                    <a:endParaRPr lang="en-US" baseline="0"/>
                  </a:p>
                  <a:p>
                    <a:pPr algn="l">
                      <a:defRPr/>
                    </a:pPr>
                    <a:r>
                      <a:rPr lang="en-US"/>
                      <a:t>H: </a:t>
                    </a:r>
                    <a:fld id="{CD922243-7596-4415-BF10-B6D83EB2207F}" type="YVALUE">
                      <a:rPr lang="en-US"/>
                      <a:pPr algn="l">
                        <a:defRPr/>
                      </a:pPr>
                      <a:t>[VALOR Y]</a:t>
                    </a:fld>
                    <a:r>
                      <a:rPr lang="en-US"/>
                      <a:t> m</a:t>
                    </a:r>
                  </a:p>
                  <a:p>
                    <a:pPr algn="l">
                      <a:defRPr/>
                    </a:pPr>
                    <a:r>
                      <a:rPr lang="en-US"/>
                      <a:t>Z:</a:t>
                    </a:r>
                    <a:r>
                      <a:rPr lang="en-US" baseline="0"/>
                      <a:t> </a:t>
                    </a:r>
                    <a:fld id="{0E48A19D-4C90-4B5D-9CC4-2D2FC5403665}" type="CELLREF">
                      <a:rPr lang="en-US"/>
                      <a:pPr algn="l">
                        <a:defRPr/>
                      </a:pPr>
                      <a:t>[CELLREF]</a:t>
                    </a:fld>
                    <a:r>
                      <a:rPr lang="en-US"/>
                      <a:t> m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l">
                    <a:defRPr sz="900" b="0" i="0" u="none" strike="noStrike" kern="1200" baseline="0">
                      <a:solidFill>
                        <a:schemeClr val="tx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2575727287126138"/>
                      <c:h val="0.16815174829939039"/>
                    </c:manualLayout>
                  </c15:layout>
                  <c15:dlblFieldTable>
                    <c15:dlblFTEntry>
                      <c15:txfldGUID>{0E48A19D-4C90-4B5D-9CC4-2D2FC5403665}</c15:txfldGUID>
                      <c15:f>Dimensionamento!$AX$32</c15:f>
                      <c15:dlblFieldTableCache>
                        <c:ptCount val="1"/>
                        <c:pt idx="0">
                          <c:v>1000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2-08B9-44E9-8751-1FC3766151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Dimensionamento!$BF$22:$BF$32</c:f>
              <c:numCache>
                <c:formatCode>0.00</c:formatCode>
                <c:ptCount val="11"/>
                <c:pt idx="0">
                  <c:v>7.4276413092805909</c:v>
                </c:pt>
                <c:pt idx="1">
                  <c:v>7.3860624024748818</c:v>
                </c:pt>
                <c:pt idx="2">
                  <c:v>7.3447162449727426</c:v>
                </c:pt>
                <c:pt idx="3">
                  <c:v>7.303601533916976</c:v>
                </c:pt>
                <c:pt idx="4">
                  <c:v>7.2627169737432515</c:v>
                </c:pt>
                <c:pt idx="5">
                  <c:v>7.2220612761392786</c:v>
                </c:pt>
                <c:pt idx="6">
                  <c:v>7.1816331600042265</c:v>
                </c:pt>
                <c:pt idx="7">
                  <c:v>7.1414313514083432</c:v>
                </c:pt>
                <c:pt idx="8">
                  <c:v>7.1014545835528233</c:v>
                </c:pt>
                <c:pt idx="9">
                  <c:v>7.0617015967298924</c:v>
                </c:pt>
                <c:pt idx="10">
                  <c:v>7.0221711382831122</c:v>
                </c:pt>
              </c:numCache>
            </c:numRef>
          </c:xVal>
          <c:yVal>
            <c:numRef>
              <c:f>Dimensionamento!$AY$22:$AY$32</c:f>
              <c:numCache>
                <c:formatCode>0</c:formatCode>
                <c:ptCount val="11"/>
                <c:pt idx="0">
                  <c:v>2000</c:v>
                </c:pt>
                <c:pt idx="1">
                  <c:v>1900</c:v>
                </c:pt>
                <c:pt idx="2">
                  <c:v>1800</c:v>
                </c:pt>
                <c:pt idx="3">
                  <c:v>1700</c:v>
                </c:pt>
                <c:pt idx="4">
                  <c:v>1600</c:v>
                </c:pt>
                <c:pt idx="5">
                  <c:v>1500</c:v>
                </c:pt>
                <c:pt idx="6">
                  <c:v>1400</c:v>
                </c:pt>
                <c:pt idx="7">
                  <c:v>1300</c:v>
                </c:pt>
                <c:pt idx="8">
                  <c:v>1200</c:v>
                </c:pt>
                <c:pt idx="9">
                  <c:v>1100</c:v>
                </c:pt>
                <c:pt idx="10">
                  <c:v>1000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A59-457C-9A40-CD510B91DB9B}"/>
            </c:ext>
          </c:extLst>
        </c:ser>
        <c:ser>
          <c:idx val="2"/>
          <c:order val="2"/>
          <c:tx>
            <c:v> Ponto de projeto até o solo</c:v>
          </c:tx>
          <c:spPr>
            <a:ln w="158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xVal>
            <c:numRef>
              <c:f>Dimensionamento!$BF$32:$BF$42</c:f>
              <c:numCache>
                <c:formatCode>0.00</c:formatCode>
                <c:ptCount val="11"/>
                <c:pt idx="0">
                  <c:v>7.0221711382831122</c:v>
                </c:pt>
                <c:pt idx="1">
                  <c:v>6.982861962567914</c:v>
                </c:pt>
                <c:pt idx="2">
                  <c:v>6.9437728309123417</c:v>
                </c:pt>
                <c:pt idx="3">
                  <c:v>6.9049025115780367</c:v>
                </c:pt>
                <c:pt idx="4">
                  <c:v>6.8662497797214135</c:v>
                </c:pt>
                <c:pt idx="5">
                  <c:v>6.827813417355074</c:v>
                </c:pt>
                <c:pt idx="6">
                  <c:v>6.7895922133094242</c:v>
                </c:pt>
                <c:pt idx="7">
                  <c:v>6.7515849631945191</c:v>
                </c:pt>
                <c:pt idx="8">
                  <c:v>6.7137904693621051</c:v>
                </c:pt>
                <c:pt idx="9">
                  <c:v>6.6762075408678907</c:v>
                </c:pt>
                <c:pt idx="10">
                  <c:v>6.6388349934340143</c:v>
                </c:pt>
              </c:numCache>
            </c:numRef>
          </c:xVal>
          <c:yVal>
            <c:numRef>
              <c:f>Dimensionamento!$AY$32:$AY$42</c:f>
              <c:numCache>
                <c:formatCode>0</c:formatCode>
                <c:ptCount val="11"/>
                <c:pt idx="0">
                  <c:v>1000</c:v>
                </c:pt>
                <c:pt idx="1">
                  <c:v>900</c:v>
                </c:pt>
                <c:pt idx="2">
                  <c:v>800</c:v>
                </c:pt>
                <c:pt idx="3">
                  <c:v>700</c:v>
                </c:pt>
                <c:pt idx="4">
                  <c:v>600</c:v>
                </c:pt>
                <c:pt idx="5">
                  <c:v>500</c:v>
                </c:pt>
                <c:pt idx="6">
                  <c:v>400</c:v>
                </c:pt>
                <c:pt idx="7">
                  <c:v>300</c:v>
                </c:pt>
                <c:pt idx="8">
                  <c:v>200</c:v>
                </c:pt>
                <c:pt idx="9">
                  <c:v>100</c:v>
                </c:pt>
                <c:pt idx="1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A59-457C-9A40-CD510B91DB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120348672"/>
        <c:axId val="120350592"/>
      </c:scatterChart>
      <c:valAx>
        <c:axId val="120348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/>
                  <a:t>V</a:t>
                </a:r>
                <a:r>
                  <a:rPr lang="pt-BR" baseline="-25000"/>
                  <a:t>t</a:t>
                </a:r>
                <a:r>
                  <a:rPr lang="pt-BR" baseline="0"/>
                  <a:t> - </a:t>
                </a:r>
                <a:r>
                  <a:rPr lang="pt-BR"/>
                  <a:t>Velocidade</a:t>
                </a:r>
                <a:r>
                  <a:rPr lang="pt-BR" baseline="0"/>
                  <a:t> </a:t>
                </a:r>
                <a:r>
                  <a:rPr lang="pt-BR"/>
                  <a:t>Terminal [m/s]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" sourceLinked="0"/>
        <c:majorTickMark val="cross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20350592"/>
        <c:crosses val="autoZero"/>
        <c:crossBetween val="midCat"/>
      </c:valAx>
      <c:valAx>
        <c:axId val="120350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000"/>
                  <a:t>H</a:t>
                </a:r>
                <a:r>
                  <a:rPr lang="pt-BR" sz="1000" baseline="0"/>
                  <a:t> - Altura</a:t>
                </a:r>
                <a:r>
                  <a:rPr lang="pt-BR" sz="1000"/>
                  <a:t> AGL</a:t>
                </a:r>
                <a:r>
                  <a:rPr lang="pt-BR" sz="1000" baseline="0"/>
                  <a:t> </a:t>
                </a:r>
                <a:r>
                  <a:rPr lang="pt-BR" sz="1000"/>
                  <a:t>[m]</a:t>
                </a:r>
              </a:p>
            </c:rich>
          </c:tx>
          <c:layout>
            <c:manualLayout>
              <c:xMode val="edge"/>
              <c:yMode val="edge"/>
              <c:x val="1.9206926423155562E-2"/>
              <c:y val="0.4077323704196958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#,##0" sourceLinked="0"/>
        <c:majorTickMark val="cross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203486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7.8274059318183282E-3"/>
          <c:y val="9.3561995689188548E-2"/>
          <c:w val="0.96549779737416375"/>
          <c:h val="0.101460175450357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Dimensionamento!$BH$12:$BH$118</c:f>
              <c:numCache>
                <c:formatCode>General</c:formatCode>
                <c:ptCount val="10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77</c:v>
                </c:pt>
                <c:pt idx="64">
                  <c:v>78</c:v>
                </c:pt>
                <c:pt idx="65">
                  <c:v>79</c:v>
                </c:pt>
                <c:pt idx="66">
                  <c:v>80</c:v>
                </c:pt>
                <c:pt idx="67">
                  <c:v>81</c:v>
                </c:pt>
                <c:pt idx="68">
                  <c:v>82</c:v>
                </c:pt>
                <c:pt idx="69">
                  <c:v>83</c:v>
                </c:pt>
                <c:pt idx="70">
                  <c:v>84</c:v>
                </c:pt>
                <c:pt idx="71">
                  <c:v>85</c:v>
                </c:pt>
                <c:pt idx="72">
                  <c:v>86</c:v>
                </c:pt>
                <c:pt idx="73">
                  <c:v>87</c:v>
                </c:pt>
                <c:pt idx="74">
                  <c:v>88</c:v>
                </c:pt>
                <c:pt idx="75">
                  <c:v>89</c:v>
                </c:pt>
                <c:pt idx="76">
                  <c:v>90</c:v>
                </c:pt>
                <c:pt idx="77">
                  <c:v>91</c:v>
                </c:pt>
                <c:pt idx="78">
                  <c:v>92</c:v>
                </c:pt>
                <c:pt idx="79">
                  <c:v>93</c:v>
                </c:pt>
                <c:pt idx="80">
                  <c:v>94</c:v>
                </c:pt>
                <c:pt idx="81">
                  <c:v>95</c:v>
                </c:pt>
                <c:pt idx="82">
                  <c:v>96</c:v>
                </c:pt>
                <c:pt idx="83">
                  <c:v>97</c:v>
                </c:pt>
                <c:pt idx="84">
                  <c:v>98</c:v>
                </c:pt>
                <c:pt idx="85">
                  <c:v>99</c:v>
                </c:pt>
                <c:pt idx="86">
                  <c:v>100</c:v>
                </c:pt>
                <c:pt idx="87">
                  <c:v>101</c:v>
                </c:pt>
                <c:pt idx="88">
                  <c:v>102</c:v>
                </c:pt>
                <c:pt idx="89">
                  <c:v>103</c:v>
                </c:pt>
                <c:pt idx="90">
                  <c:v>104</c:v>
                </c:pt>
                <c:pt idx="91">
                  <c:v>105</c:v>
                </c:pt>
                <c:pt idx="92">
                  <c:v>106</c:v>
                </c:pt>
                <c:pt idx="93">
                  <c:v>107</c:v>
                </c:pt>
                <c:pt idx="94">
                  <c:v>108</c:v>
                </c:pt>
                <c:pt idx="95">
                  <c:v>109</c:v>
                </c:pt>
                <c:pt idx="96">
                  <c:v>110</c:v>
                </c:pt>
                <c:pt idx="97">
                  <c:v>111</c:v>
                </c:pt>
                <c:pt idx="98">
                  <c:v>112</c:v>
                </c:pt>
                <c:pt idx="99">
                  <c:v>113</c:v>
                </c:pt>
                <c:pt idx="100">
                  <c:v>114</c:v>
                </c:pt>
                <c:pt idx="101">
                  <c:v>115</c:v>
                </c:pt>
                <c:pt idx="102">
                  <c:v>116</c:v>
                </c:pt>
                <c:pt idx="103">
                  <c:v>117</c:v>
                </c:pt>
                <c:pt idx="104">
                  <c:v>118</c:v>
                </c:pt>
                <c:pt idx="105">
                  <c:v>119</c:v>
                </c:pt>
                <c:pt idx="106">
                  <c:v>120</c:v>
                </c:pt>
              </c:numCache>
            </c:numRef>
          </c:xVal>
          <c:yVal>
            <c:numRef>
              <c:f>Dimensionamento!$BI$12:$BI$118</c:f>
              <c:numCache>
                <c:formatCode>General</c:formatCode>
                <c:ptCount val="107"/>
                <c:pt idx="0">
                  <c:v>9.7671344845752301</c:v>
                </c:pt>
                <c:pt idx="1">
                  <c:v>19.467528567913281</c:v>
                </c:pt>
                <c:pt idx="2">
                  <c:v>29.036253659974083</c:v>
                </c:pt>
                <c:pt idx="3">
                  <c:v>38.41190126582768</c:v>
                </c:pt>
                <c:pt idx="4">
                  <c:v>47.538094244855039</c:v>
                </c:pt>
                <c:pt idx="5">
                  <c:v>56.364726144442322</c:v>
                </c:pt>
                <c:pt idx="6">
                  <c:v>64.848878242172475</c:v>
                </c:pt>
                <c:pt idx="7">
                  <c:v>72.955391124536547</c:v>
                </c:pt>
                <c:pt idx="8">
                  <c:v>80.657094154396773</c:v>
                </c:pt>
                <c:pt idx="9">
                  <c:v>87.934719197750127</c:v>
                </c:pt>
                <c:pt idx="10">
                  <c:v>94.776542525300044</c:v>
                </c:pt>
                <c:pt idx="11">
                  <c:v>101.17780993323757</c:v>
                </c:pt>
                <c:pt idx="12">
                  <c:v>107.14000486874409</c:v>
                </c:pt>
                <c:pt idx="13">
                  <c:v>112.67001849024929</c:v>
                </c:pt>
                <c:pt idx="14">
                  <c:v>117.77927540906921</c:v>
                </c:pt>
                <c:pt idx="15">
                  <c:v>122.48286080423902</c:v>
                </c:pt>
                <c:pt idx="16">
                  <c:v>126.7986850804035</c:v>
                </c:pt>
                <c:pt idx="17">
                  <c:v>130.74671243807248</c:v>
                </c:pt>
                <c:pt idx="18">
                  <c:v>134.34827053619719</c:v>
                </c:pt>
                <c:pt idx="19">
                  <c:v>137.62545042466846</c:v>
                </c:pt>
                <c:pt idx="20">
                  <c:v>140.60059940271799</c:v>
                </c:pt>
                <c:pt idx="21">
                  <c:v>143.29590448784185</c:v>
                </c:pt>
                <c:pt idx="22">
                  <c:v>145.73306067007189</c:v>
                </c:pt>
                <c:pt idx="23">
                  <c:v>147.93301589315396</c:v>
                </c:pt>
                <c:pt idx="24">
                  <c:v>149.91578351695046</c:v>
                </c:pt>
                <c:pt idx="25">
                  <c:v>151.70031263570223</c:v>
                </c:pt>
                <c:pt idx="26">
                  <c:v>153.30440683273491</c:v>
                </c:pt>
                <c:pt idx="27">
                  <c:v>154.7446825520997</c:v>
                </c:pt>
                <c:pt idx="28">
                  <c:v>156.036559105576</c:v>
                </c:pt>
                <c:pt idx="29">
                  <c:v>157.19427328926542</c:v>
                </c:pt>
                <c:pt idx="30">
                  <c:v>158.2309125699222</c:v>
                </c:pt>
                <c:pt idx="31">
                  <c:v>159.15846175691593</c:v>
                </c:pt>
                <c:pt idx="32">
                  <c:v>159.98785896302988</c:v>
                </c:pt>
                <c:pt idx="33">
                  <c:v>160.72905745471397</c:v>
                </c:pt>
                <c:pt idx="34">
                  <c:v>161.39109069073692</c:v>
                </c:pt>
                <c:pt idx="35">
                  <c:v>161.98213844669016</c:v>
                </c:pt>
                <c:pt idx="36">
                  <c:v>162.5095924262622</c:v>
                </c:pt>
                <c:pt idx="37">
                  <c:v>162.98012017666358</c:v>
                </c:pt>
                <c:pt idx="38">
                  <c:v>163.39972646469198</c:v>
                </c:pt>
                <c:pt idx="39">
                  <c:v>163.77381154186622</c:v>
                </c:pt>
                <c:pt idx="40">
                  <c:v>164.10722594175391</c:v>
                </c:pt>
                <c:pt idx="41">
                  <c:v>164.40432161934123</c:v>
                </c:pt>
                <c:pt idx="42">
                  <c:v>164.66899936938239</c:v>
                </c:pt>
                <c:pt idx="43">
                  <c:v>164.90475255544547</c:v>
                </c:pt>
                <c:pt idx="44">
                  <c:v>165.11470725013797</c:v>
                </c:pt>
                <c:pt idx="45">
                  <c:v>165.30165893508575</c:v>
                </c:pt>
                <c:pt idx="46">
                  <c:v>165.46810594109323</c:v>
                </c:pt>
                <c:pt idx="47">
                  <c:v>165.61627982819533</c:v>
                </c:pt>
                <c:pt idx="48">
                  <c:v>165.74817291501003</c:v>
                </c:pt>
                <c:pt idx="49">
                  <c:v>165.86556316930989</c:v>
                </c:pt>
                <c:pt idx="50">
                  <c:v>165.97003666898055</c:v>
                </c:pt>
                <c:pt idx="51">
                  <c:v>166.06300783603103</c:v>
                </c:pt>
                <c:pt idx="52">
                  <c:v>166.14573763725289</c:v>
                </c:pt>
                <c:pt idx="53">
                  <c:v>166.21934993440547</c:v>
                </c:pt>
                <c:pt idx="54">
                  <c:v>166.28484615513204</c:v>
                </c:pt>
                <c:pt idx="55">
                  <c:v>166.3431184437099</c:v>
                </c:pt>
                <c:pt idx="56">
                  <c:v>166.39496143859373</c:v>
                </c:pt>
                <c:pt idx="57">
                  <c:v>166.44108281180456</c:v>
                </c:pt>
                <c:pt idx="58">
                  <c:v>166.48211269374272</c:v>
                </c:pt>
                <c:pt idx="59">
                  <c:v>166.51861209609018</c:v>
                </c:pt>
                <c:pt idx="60">
                  <c:v>166.55108043519797</c:v>
                </c:pt>
                <c:pt idx="61">
                  <c:v>166.57996224877093</c:v>
                </c:pt>
                <c:pt idx="62">
                  <c:v>166.60565318977973</c:v>
                </c:pt>
                <c:pt idx="63">
                  <c:v>166.77227887204461</c:v>
                </c:pt>
                <c:pt idx="64">
                  <c:v>166.77671005970393</c:v>
                </c:pt>
                <c:pt idx="65">
                  <c:v>166.78065114200467</c:v>
                </c:pt>
                <c:pt idx="66">
                  <c:v>166.7841563166385</c:v>
                </c:pt>
                <c:pt idx="67">
                  <c:v>166.78727378994662</c:v>
                </c:pt>
                <c:pt idx="68">
                  <c:v>166.79004643881566</c:v>
                </c:pt>
                <c:pt idx="69">
                  <c:v>166.79251239953993</c:v>
                </c:pt>
                <c:pt idx="70">
                  <c:v>166.79470559168846</c:v>
                </c:pt>
                <c:pt idx="71">
                  <c:v>166.79665618413787</c:v>
                </c:pt>
                <c:pt idx="72">
                  <c:v>166.79839100964244</c:v>
                </c:pt>
                <c:pt idx="73">
                  <c:v>166.7999339336163</c:v>
                </c:pt>
                <c:pt idx="74">
                  <c:v>166.80130618217703</c:v>
                </c:pt>
                <c:pt idx="75">
                  <c:v>166.80252663394521</c:v>
                </c:pt>
                <c:pt idx="76">
                  <c:v>166.80361207960033</c:v>
                </c:pt>
                <c:pt idx="77">
                  <c:v>166.80457745275152</c:v>
                </c:pt>
                <c:pt idx="78">
                  <c:v>166.80543603529122</c:v>
                </c:pt>
                <c:pt idx="79">
                  <c:v>166.80619964004941</c:v>
                </c:pt>
                <c:pt idx="80">
                  <c:v>166.8068787732557</c:v>
                </c:pt>
                <c:pt idx="81">
                  <c:v>166.80748277904055</c:v>
                </c:pt>
                <c:pt idx="82">
                  <c:v>166.80801996795947</c:v>
                </c:pt>
                <c:pt idx="83">
                  <c:v>166.80849773130652</c:v>
                </c:pt>
                <c:pt idx="84">
                  <c:v>166.80892264278717</c:v>
                </c:pt>
                <c:pt idx="85">
                  <c:v>166.80930054894827</c:v>
                </c:pt>
                <c:pt idx="86">
                  <c:v>166.80963664960703</c:v>
                </c:pt>
                <c:pt idx="87">
                  <c:v>166.80993556938583</c:v>
                </c:pt>
                <c:pt idx="88">
                  <c:v>166.81020142133525</c:v>
                </c:pt>
                <c:pt idx="89">
                  <c:v>166.81043786352072</c:v>
                </c:pt>
                <c:pt idx="90">
                  <c:v>166.81064814935041</c:v>
                </c:pt>
                <c:pt idx="91">
                  <c:v>166.81083517233674</c:v>
                </c:pt>
                <c:pt idx="92">
                  <c:v>166.81100150590686</c:v>
                </c:pt>
                <c:pt idx="93">
                  <c:v>166.81114943880996</c:v>
                </c:pt>
                <c:pt idx="94">
                  <c:v>166.81128100660789</c:v>
                </c:pt>
                <c:pt idx="95">
                  <c:v>166.8113980196826</c:v>
                </c:pt>
                <c:pt idx="96">
                  <c:v>166.81150208814572</c:v>
                </c:pt>
                <c:pt idx="97">
                  <c:v>166.81159464399252</c:v>
                </c:pt>
                <c:pt idx="98">
                  <c:v>166.81167696080558</c:v>
                </c:pt>
                <c:pt idx="99">
                  <c:v>166.81175017127853</c:v>
                </c:pt>
                <c:pt idx="100">
                  <c:v>166.81181528280163</c:v>
                </c:pt>
                <c:pt idx="101">
                  <c:v>166.81187319132306</c:v>
                </c:pt>
                <c:pt idx="102">
                  <c:v>166.81192469367716</c:v>
                </c:pt>
                <c:pt idx="103">
                  <c:v>166.81197049854867</c:v>
                </c:pt>
                <c:pt idx="104">
                  <c:v>166.81201123622409</c:v>
                </c:pt>
                <c:pt idx="105">
                  <c:v>166.81204746726451</c:v>
                </c:pt>
                <c:pt idx="106">
                  <c:v>166.81207969021895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3D-4D6B-B69C-269BBCF0F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7612783"/>
        <c:axId val="777612303"/>
      </c:scatterChart>
      <c:valAx>
        <c:axId val="7776127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77612303"/>
        <c:crosses val="autoZero"/>
        <c:crossBetween val="midCat"/>
        <c:majorUnit val="5"/>
      </c:valAx>
      <c:valAx>
        <c:axId val="777612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776127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Vista frontal do velame [m]</a:t>
            </a:r>
          </a:p>
        </c:rich>
      </c:tx>
      <c:layout>
        <c:manualLayout>
          <c:xMode val="edge"/>
          <c:yMode val="edge"/>
          <c:x val="0.32274870438796349"/>
          <c:y val="2.49793625438210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7328184295944613E-2"/>
          <c:y val="0.14501667397676088"/>
          <c:w val="0.90806230666885002"/>
          <c:h val="0.65459546165884186"/>
        </c:manualLayout>
      </c:layout>
      <c:scatterChart>
        <c:scatterStyle val="smoothMarker"/>
        <c:varyColors val="0"/>
        <c:ser>
          <c:idx val="0"/>
          <c:order val="0"/>
          <c:tx>
            <c:v>Dir</c:v>
          </c:tx>
          <c:spPr>
            <a:ln w="15875">
              <a:solidFill>
                <a:srgbClr val="230086"/>
              </a:solidFill>
            </a:ln>
          </c:spPr>
          <c:marker>
            <c:symbol val="none"/>
          </c:marker>
          <c:xVal>
            <c:numRef>
              <c:f>Gomos!$AT$11:$AT$110</c:f>
              <c:numCache>
                <c:formatCode>0.000</c:formatCode>
                <c:ptCount val="100"/>
                <c:pt idx="0">
                  <c:v>0.62023620245825406</c:v>
                </c:pt>
                <c:pt idx="1">
                  <c:v>0.62650121460429709</c:v>
                </c:pt>
                <c:pt idx="2">
                  <c:v>0.63276622675034011</c:v>
                </c:pt>
                <c:pt idx="3">
                  <c:v>0.63903123889638314</c:v>
                </c:pt>
                <c:pt idx="4">
                  <c:v>0.64529625104242616</c:v>
                </c:pt>
                <c:pt idx="5">
                  <c:v>0.65156126318846919</c:v>
                </c:pt>
                <c:pt idx="6">
                  <c:v>0.65782627533451221</c:v>
                </c:pt>
                <c:pt idx="7">
                  <c:v>0.66409128748055524</c:v>
                </c:pt>
                <c:pt idx="8">
                  <c:v>0.67035629962659826</c:v>
                </c:pt>
                <c:pt idx="9">
                  <c:v>0.67662131177264129</c:v>
                </c:pt>
                <c:pt idx="10">
                  <c:v>0.68288632391868431</c:v>
                </c:pt>
                <c:pt idx="11">
                  <c:v>0.68915133606472734</c:v>
                </c:pt>
                <c:pt idx="12">
                  <c:v>0.69541634821077036</c:v>
                </c:pt>
                <c:pt idx="13">
                  <c:v>0.70168136035681339</c:v>
                </c:pt>
                <c:pt idx="14">
                  <c:v>0.70794637250285641</c:v>
                </c:pt>
                <c:pt idx="15">
                  <c:v>0.71421138464889944</c:v>
                </c:pt>
                <c:pt idx="16">
                  <c:v>0.72047639679494246</c:v>
                </c:pt>
                <c:pt idx="17">
                  <c:v>0.72674140894098549</c:v>
                </c:pt>
                <c:pt idx="18">
                  <c:v>0.73300642108702851</c:v>
                </c:pt>
                <c:pt idx="19">
                  <c:v>0.73927143323307154</c:v>
                </c:pt>
                <c:pt idx="20">
                  <c:v>0.74553644537911457</c:v>
                </c:pt>
                <c:pt idx="21">
                  <c:v>0.75180145752515759</c:v>
                </c:pt>
                <c:pt idx="22">
                  <c:v>0.75806646967120062</c:v>
                </c:pt>
                <c:pt idx="23">
                  <c:v>0.76433148181724364</c:v>
                </c:pt>
                <c:pt idx="24">
                  <c:v>0.77059649396328667</c:v>
                </c:pt>
                <c:pt idx="25">
                  <c:v>0.77686150610932969</c:v>
                </c:pt>
                <c:pt idx="26">
                  <c:v>0.78312651825537272</c:v>
                </c:pt>
                <c:pt idx="27">
                  <c:v>0.78939153040141574</c:v>
                </c:pt>
                <c:pt idx="28">
                  <c:v>0.79565654254745877</c:v>
                </c:pt>
                <c:pt idx="29">
                  <c:v>0.80192155469350179</c:v>
                </c:pt>
                <c:pt idx="30">
                  <c:v>0.80818656683954482</c:v>
                </c:pt>
                <c:pt idx="31">
                  <c:v>0.81445157898558784</c:v>
                </c:pt>
                <c:pt idx="32">
                  <c:v>0.82071659113163087</c:v>
                </c:pt>
                <c:pt idx="33">
                  <c:v>0.82698160327767389</c:v>
                </c:pt>
                <c:pt idx="34">
                  <c:v>0.83324661542371692</c:v>
                </c:pt>
                <c:pt idx="35">
                  <c:v>0.83951162756975994</c:v>
                </c:pt>
                <c:pt idx="36">
                  <c:v>0.84577663971580297</c:v>
                </c:pt>
                <c:pt idx="37">
                  <c:v>0.85204165186184599</c:v>
                </c:pt>
                <c:pt idx="38">
                  <c:v>0.85830666400788902</c:v>
                </c:pt>
                <c:pt idx="39">
                  <c:v>0.86457167615393204</c:v>
                </c:pt>
                <c:pt idx="40">
                  <c:v>0.87083668829997507</c:v>
                </c:pt>
                <c:pt idx="41">
                  <c:v>0.8771017004460181</c:v>
                </c:pt>
                <c:pt idx="42">
                  <c:v>0.88336671259206112</c:v>
                </c:pt>
                <c:pt idx="43">
                  <c:v>0.88963172473810415</c:v>
                </c:pt>
                <c:pt idx="44">
                  <c:v>0.89589673688414717</c:v>
                </c:pt>
                <c:pt idx="45">
                  <c:v>0.9021617490301902</c:v>
                </c:pt>
                <c:pt idx="46">
                  <c:v>0.90842676117623322</c:v>
                </c:pt>
                <c:pt idx="47">
                  <c:v>0.91469177332227625</c:v>
                </c:pt>
                <c:pt idx="48">
                  <c:v>0.92095678546831927</c:v>
                </c:pt>
                <c:pt idx="49">
                  <c:v>0.9272217976143623</c:v>
                </c:pt>
                <c:pt idx="50">
                  <c:v>0.93348680976040532</c:v>
                </c:pt>
                <c:pt idx="51">
                  <c:v>0.93975182190644835</c:v>
                </c:pt>
                <c:pt idx="52">
                  <c:v>0.94601683405249137</c:v>
                </c:pt>
                <c:pt idx="53">
                  <c:v>0.9522818461985344</c:v>
                </c:pt>
                <c:pt idx="54">
                  <c:v>0.95854685834457742</c:v>
                </c:pt>
                <c:pt idx="55">
                  <c:v>0.96481187049062045</c:v>
                </c:pt>
                <c:pt idx="56">
                  <c:v>0.97107688263666347</c:v>
                </c:pt>
                <c:pt idx="57">
                  <c:v>0.9773418947827065</c:v>
                </c:pt>
                <c:pt idx="58">
                  <c:v>0.98360690692874952</c:v>
                </c:pt>
                <c:pt idx="59">
                  <c:v>0.98987191907479255</c:v>
                </c:pt>
                <c:pt idx="60">
                  <c:v>0.99613693122083558</c:v>
                </c:pt>
                <c:pt idx="61">
                  <c:v>1.0024019433668785</c:v>
                </c:pt>
                <c:pt idx="62">
                  <c:v>1.0086669555129215</c:v>
                </c:pt>
                <c:pt idx="63">
                  <c:v>1.0149319676589645</c:v>
                </c:pt>
                <c:pt idx="64">
                  <c:v>1.0211969798050076</c:v>
                </c:pt>
                <c:pt idx="65">
                  <c:v>1.0274619919510506</c:v>
                </c:pt>
                <c:pt idx="66">
                  <c:v>1.0337270040970936</c:v>
                </c:pt>
                <c:pt idx="67">
                  <c:v>1.0399920162431366</c:v>
                </c:pt>
                <c:pt idx="68">
                  <c:v>1.0462570283891797</c:v>
                </c:pt>
                <c:pt idx="69">
                  <c:v>1.0525220405352227</c:v>
                </c:pt>
                <c:pt idx="70">
                  <c:v>1.0587870526812657</c:v>
                </c:pt>
                <c:pt idx="71">
                  <c:v>1.0650520648273087</c:v>
                </c:pt>
                <c:pt idx="72">
                  <c:v>1.0713170769733518</c:v>
                </c:pt>
                <c:pt idx="73">
                  <c:v>1.0775820891193948</c:v>
                </c:pt>
                <c:pt idx="74">
                  <c:v>1.0838471012654378</c:v>
                </c:pt>
                <c:pt idx="75">
                  <c:v>1.0901121134114808</c:v>
                </c:pt>
                <c:pt idx="76">
                  <c:v>1.0963771255575239</c:v>
                </c:pt>
                <c:pt idx="77">
                  <c:v>1.1026421377035669</c:v>
                </c:pt>
                <c:pt idx="78">
                  <c:v>1.1089071498496099</c:v>
                </c:pt>
                <c:pt idx="79">
                  <c:v>1.1151721619956529</c:v>
                </c:pt>
                <c:pt idx="80">
                  <c:v>1.121437174141696</c:v>
                </c:pt>
                <c:pt idx="81">
                  <c:v>1.127702186287739</c:v>
                </c:pt>
                <c:pt idx="82">
                  <c:v>1.133967198433782</c:v>
                </c:pt>
                <c:pt idx="83">
                  <c:v>1.140232210579825</c:v>
                </c:pt>
                <c:pt idx="84">
                  <c:v>1.1464972227258681</c:v>
                </c:pt>
                <c:pt idx="85">
                  <c:v>1.1527622348719111</c:v>
                </c:pt>
                <c:pt idx="86">
                  <c:v>1.1590272470179541</c:v>
                </c:pt>
                <c:pt idx="87">
                  <c:v>1.1652922591639971</c:v>
                </c:pt>
                <c:pt idx="88">
                  <c:v>1.1715572713100402</c:v>
                </c:pt>
                <c:pt idx="89">
                  <c:v>1.1778222834560832</c:v>
                </c:pt>
                <c:pt idx="90">
                  <c:v>1.1840872956021262</c:v>
                </c:pt>
                <c:pt idx="91">
                  <c:v>1.1903523077481692</c:v>
                </c:pt>
                <c:pt idx="92">
                  <c:v>1.1966173198942123</c:v>
                </c:pt>
                <c:pt idx="93">
                  <c:v>1.2028823320402553</c:v>
                </c:pt>
                <c:pt idx="94">
                  <c:v>1.2091473441862983</c:v>
                </c:pt>
                <c:pt idx="95">
                  <c:v>1.2154123563323413</c:v>
                </c:pt>
                <c:pt idx="96">
                  <c:v>1.2216773684783844</c:v>
                </c:pt>
                <c:pt idx="97">
                  <c:v>1.2279423806244274</c:v>
                </c:pt>
                <c:pt idx="98">
                  <c:v>1.2342073927704704</c:v>
                </c:pt>
                <c:pt idx="99">
                  <c:v>1.2404724049165134</c:v>
                </c:pt>
              </c:numCache>
            </c:numRef>
          </c:xVal>
          <c:yVal>
            <c:numRef>
              <c:f>Gomos!$AU$11:$AU$110</c:f>
              <c:numCache>
                <c:formatCode>0.000</c:formatCode>
                <c:ptCount val="100"/>
                <c:pt idx="0">
                  <c:v>0.43850699513798558</c:v>
                </c:pt>
                <c:pt idx="1">
                  <c:v>0.4384846240441701</c:v>
                </c:pt>
                <c:pt idx="2">
                  <c:v>0.43841750391355611</c:v>
                </c:pt>
                <c:pt idx="3">
                  <c:v>0.43830561418815139</c:v>
                </c:pt>
                <c:pt idx="4">
                  <c:v>0.43814892056963473</c:v>
                </c:pt>
                <c:pt idx="5">
                  <c:v>0.43794737496672287</c:v>
                </c:pt>
                <c:pt idx="6">
                  <c:v>0.43770091542122064</c:v>
                </c:pt>
                <c:pt idx="7">
                  <c:v>0.43740946601248754</c:v>
                </c:pt>
                <c:pt idx="8">
                  <c:v>0.43707293673997749</c:v>
                </c:pt>
                <c:pt idx="9">
                  <c:v>0.43669122338342342</c:v>
                </c:pt>
                <c:pt idx="10">
                  <c:v>0.43626420734015936</c:v>
                </c:pt>
                <c:pt idx="11">
                  <c:v>0.43579175543898019</c:v>
                </c:pt>
                <c:pt idx="12">
                  <c:v>0.4352737197298524</c:v>
                </c:pt>
                <c:pt idx="13">
                  <c:v>0.43470993724869023</c:v>
                </c:pt>
                <c:pt idx="14">
                  <c:v>0.43410022975631113</c:v>
                </c:pt>
                <c:pt idx="15">
                  <c:v>0.4334444034505785</c:v>
                </c:pt>
                <c:pt idx="16">
                  <c:v>0.43274224865062283</c:v>
                </c:pt>
                <c:pt idx="17">
                  <c:v>0.43199353945191227</c:v>
                </c:pt>
                <c:pt idx="18">
                  <c:v>0.43119803335081219</c:v>
                </c:pt>
                <c:pt idx="19">
                  <c:v>0.43035547083713166</c:v>
                </c:pt>
                <c:pt idx="20">
                  <c:v>0.42946557495300397</c:v>
                </c:pt>
                <c:pt idx="21">
                  <c:v>0.42852805081628331</c:v>
                </c:pt>
                <c:pt idx="22">
                  <c:v>0.42754258510646137</c:v>
                </c:pt>
                <c:pt idx="23">
                  <c:v>0.4265088455109135</c:v>
                </c:pt>
                <c:pt idx="24">
                  <c:v>0.42542648012907308</c:v>
                </c:pt>
                <c:pt idx="25">
                  <c:v>0.4242951168319013</c:v>
                </c:pt>
                <c:pt idx="26">
                  <c:v>0.42311436257376667</c:v>
                </c:pt>
                <c:pt idx="27">
                  <c:v>0.42188380265357039</c:v>
                </c:pt>
                <c:pt idx="28">
                  <c:v>0.42060299992165112</c:v>
                </c:pt>
                <c:pt idx="29">
                  <c:v>0.41927149392866198</c:v>
                </c:pt>
                <c:pt idx="30">
                  <c:v>0.41788880001224665</c:v>
                </c:pt>
                <c:pt idx="31">
                  <c:v>0.41645440831692815</c:v>
                </c:pt>
                <c:pt idx="32">
                  <c:v>0.41496778274217122</c:v>
                </c:pt>
                <c:pt idx="33">
                  <c:v>0.41342835981307424</c:v>
                </c:pt>
                <c:pt idx="34">
                  <c:v>0.4118355474675876</c:v>
                </c:pt>
                <c:pt idx="35">
                  <c:v>0.41018872375353055</c:v>
                </c:pt>
                <c:pt idx="36">
                  <c:v>0.40848723542798338</c:v>
                </c:pt>
                <c:pt idx="37">
                  <c:v>0.40673039645085179</c:v>
                </c:pt>
                <c:pt idx="38">
                  <c:v>0.40491748636353214</c:v>
                </c:pt>
                <c:pt idx="39">
                  <c:v>0.40304774854262526</c:v>
                </c:pt>
                <c:pt idx="40">
                  <c:v>0.40112038831754881</c:v>
                </c:pt>
                <c:pt idx="41">
                  <c:v>0.39913457093966043</c:v>
                </c:pt>
                <c:pt idx="42">
                  <c:v>0.39708941938910486</c:v>
                </c:pt>
                <c:pt idx="43">
                  <c:v>0.39498401200401745</c:v>
                </c:pt>
                <c:pt idx="44">
                  <c:v>0.39281737991492571</c:v>
                </c:pt>
                <c:pt idx="45">
                  <c:v>0.39058850426515135</c:v>
                </c:pt>
                <c:pt idx="46">
                  <c:v>0.3882963131956999</c:v>
                </c:pt>
                <c:pt idx="47">
                  <c:v>0.3859396785704754</c:v>
                </c:pt>
                <c:pt idx="48">
                  <c:v>0.38351741241463144</c:v>
                </c:pt>
                <c:pt idx="49">
                  <c:v>0.38102826303539605</c:v>
                </c:pt>
                <c:pt idx="50">
                  <c:v>0.37847091079071232</c:v>
                </c:pt>
                <c:pt idx="51">
                  <c:v>0.37584396346643034</c:v>
                </c:pt>
                <c:pt idx="52">
                  <c:v>0.37314595121746053</c:v>
                </c:pt>
                <c:pt idx="53">
                  <c:v>0.37037532102211579</c:v>
                </c:pt>
                <c:pt idx="54">
                  <c:v>0.36753043059168716</c:v>
                </c:pt>
                <c:pt idx="55">
                  <c:v>0.36460954166890713</c:v>
                </c:pt>
                <c:pt idx="56">
                  <c:v>0.36161081263913269</c:v>
                </c:pt>
                <c:pt idx="57">
                  <c:v>0.35853229036654582</c:v>
                </c:pt>
                <c:pt idx="58">
                  <c:v>0.35537190115406175</c:v>
                </c:pt>
                <c:pt idx="59">
                  <c:v>0.35212744070953506</c:v>
                </c:pt>
                <c:pt idx="60">
                  <c:v>0.34879656298172712</c:v>
                </c:pt>
                <c:pt idx="61">
                  <c:v>0.34537676770667214</c:v>
                </c:pt>
                <c:pt idx="62">
                  <c:v>0.34186538647774073</c:v>
                </c:pt>
                <c:pt idx="63">
                  <c:v>0.33825956711978644</c:v>
                </c:pt>
                <c:pt idx="64">
                  <c:v>0.3345562561079668</c:v>
                </c:pt>
                <c:pt idx="65">
                  <c:v>0.33075217872346274</c:v>
                </c:pt>
                <c:pt idx="66">
                  <c:v>0.32684381657923295</c:v>
                </c:pt>
                <c:pt idx="67">
                  <c:v>0.32282738207634271</c:v>
                </c:pt>
                <c:pt idx="68">
                  <c:v>0.31869878926170159</c:v>
                </c:pt>
                <c:pt idx="69">
                  <c:v>0.31445362044649422</c:v>
                </c:pt>
                <c:pt idx="70">
                  <c:v>0.31008708780496663</c:v>
                </c:pt>
                <c:pt idx="71">
                  <c:v>0.30559398899724144</c:v>
                </c:pt>
                <c:pt idx="72">
                  <c:v>0.30096865563634861</c:v>
                </c:pt>
                <c:pt idx="73">
                  <c:v>0.29620489313358711</c:v>
                </c:pt>
                <c:pt idx="74">
                  <c:v>0.29129591008703221</c:v>
                </c:pt>
                <c:pt idx="75">
                  <c:v>0.28623423489689137</c:v>
                </c:pt>
                <c:pt idx="76">
                  <c:v>0.28101161665847391</c:v>
                </c:pt>
                <c:pt idx="77">
                  <c:v>0.27561890654204618</c:v>
                </c:pt>
                <c:pt idx="78">
                  <c:v>0.2700459147372557</c:v>
                </c:pt>
                <c:pt idx="79">
                  <c:v>0.26428123649921303</c:v>
                </c:pt>
                <c:pt idx="80">
                  <c:v>0.25831203870754582</c:v>
                </c:pt>
                <c:pt idx="81">
                  <c:v>0.25212379537316221</c:v>
                </c:pt>
                <c:pt idx="82">
                  <c:v>0.2456999562920423</c:v>
                </c:pt>
                <c:pt idx="83">
                  <c:v>0.23902152691102677</c:v>
                </c:pt>
                <c:pt idx="84">
                  <c:v>0.23206652841000086</c:v>
                </c:pt>
                <c:pt idx="85">
                  <c:v>0.22480929332677646</c:v>
                </c:pt>
                <c:pt idx="86">
                  <c:v>0.21721953089057938</c:v>
                </c:pt>
                <c:pt idx="87">
                  <c:v>0.20926106257731253</c:v>
                </c:pt>
                <c:pt idx="88">
                  <c:v>0.20089007316956298</c:v>
                </c:pt>
                <c:pt idx="89">
                  <c:v>0.19205262862450651</c:v>
                </c:pt>
                <c:pt idx="90">
                  <c:v>0.18268104527157905</c:v>
                </c:pt>
                <c:pt idx="91">
                  <c:v>0.17268838385332894</c:v>
                </c:pt>
                <c:pt idx="92">
                  <c:v>0.16195972650834062</c:v>
                </c:pt>
                <c:pt idx="93">
                  <c:v>0.15033758538656292</c:v>
                </c:pt>
                <c:pt idx="94">
                  <c:v>0.13759573985226287</c:v>
                </c:pt>
                <c:pt idx="95">
                  <c:v>0.12338779172813223</c:v>
                </c:pt>
                <c:pt idx="96">
                  <c:v>0.10713201270405642</c:v>
                </c:pt>
                <c:pt idx="97">
                  <c:v>8.7696924808815926E-2</c:v>
                </c:pt>
                <c:pt idx="98">
                  <c:v>6.2169080516346682E-2</c:v>
                </c:pt>
                <c:pt idx="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CC3-4E69-BC73-F0BD08ACB8AD}"/>
            </c:ext>
          </c:extLst>
        </c:ser>
        <c:ser>
          <c:idx val="1"/>
          <c:order val="1"/>
          <c:tx>
            <c:v>Esq</c:v>
          </c:tx>
          <c:spPr>
            <a:ln w="15875">
              <a:solidFill>
                <a:srgbClr val="230086"/>
              </a:solidFill>
            </a:ln>
          </c:spPr>
          <c:marker>
            <c:symbol val="none"/>
          </c:marker>
          <c:xVal>
            <c:numRef>
              <c:f>Gomos!$AV$11:$AV$110</c:f>
              <c:numCache>
                <c:formatCode>0.000</c:formatCode>
                <c:ptCount val="100"/>
                <c:pt idx="0">
                  <c:v>0.62023620245825406</c:v>
                </c:pt>
                <c:pt idx="1">
                  <c:v>0.61397119031221103</c:v>
                </c:pt>
                <c:pt idx="2">
                  <c:v>0.60770617816616801</c:v>
                </c:pt>
                <c:pt idx="3">
                  <c:v>0.60144116602012498</c:v>
                </c:pt>
                <c:pt idx="4">
                  <c:v>0.59517615387408196</c:v>
                </c:pt>
                <c:pt idx="5">
                  <c:v>0.58891114172803893</c:v>
                </c:pt>
                <c:pt idx="6">
                  <c:v>0.58264612958199591</c:v>
                </c:pt>
                <c:pt idx="7">
                  <c:v>0.57638111743595288</c:v>
                </c:pt>
                <c:pt idx="8">
                  <c:v>0.57011610528990986</c:v>
                </c:pt>
                <c:pt idx="9">
                  <c:v>0.56385109314386683</c:v>
                </c:pt>
                <c:pt idx="10">
                  <c:v>0.55758608099782381</c:v>
                </c:pt>
                <c:pt idx="11">
                  <c:v>0.55132106885178078</c:v>
                </c:pt>
                <c:pt idx="12">
                  <c:v>0.54505605670573776</c:v>
                </c:pt>
                <c:pt idx="13">
                  <c:v>0.53879104455969473</c:v>
                </c:pt>
                <c:pt idx="14">
                  <c:v>0.53252603241365171</c:v>
                </c:pt>
                <c:pt idx="15">
                  <c:v>0.52626102026760868</c:v>
                </c:pt>
                <c:pt idx="16">
                  <c:v>0.51999600812156566</c:v>
                </c:pt>
                <c:pt idx="17">
                  <c:v>0.51373099597552263</c:v>
                </c:pt>
                <c:pt idx="18">
                  <c:v>0.50746598382947961</c:v>
                </c:pt>
                <c:pt idx="19">
                  <c:v>0.50120097168343658</c:v>
                </c:pt>
                <c:pt idx="20">
                  <c:v>0.49493595953739355</c:v>
                </c:pt>
                <c:pt idx="21">
                  <c:v>0.48867094739135053</c:v>
                </c:pt>
                <c:pt idx="22">
                  <c:v>0.4824059352453075</c:v>
                </c:pt>
                <c:pt idx="23">
                  <c:v>0.47614092309926448</c:v>
                </c:pt>
                <c:pt idx="24">
                  <c:v>0.46987591095322145</c:v>
                </c:pt>
                <c:pt idx="25">
                  <c:v>0.46361089880717843</c:v>
                </c:pt>
                <c:pt idx="26">
                  <c:v>0.4573458866611354</c:v>
                </c:pt>
                <c:pt idx="27">
                  <c:v>0.45108087451509238</c:v>
                </c:pt>
                <c:pt idx="28">
                  <c:v>0.44481586236904935</c:v>
                </c:pt>
                <c:pt idx="29">
                  <c:v>0.43855085022300633</c:v>
                </c:pt>
                <c:pt idx="30">
                  <c:v>0.4322858380769633</c:v>
                </c:pt>
                <c:pt idx="31">
                  <c:v>0.42602082593092028</c:v>
                </c:pt>
                <c:pt idx="32">
                  <c:v>0.41975581378487725</c:v>
                </c:pt>
                <c:pt idx="33">
                  <c:v>0.41349080163883423</c:v>
                </c:pt>
                <c:pt idx="34">
                  <c:v>0.4072257894927912</c:v>
                </c:pt>
                <c:pt idx="35">
                  <c:v>0.40096077734674818</c:v>
                </c:pt>
                <c:pt idx="36">
                  <c:v>0.39469576520070515</c:v>
                </c:pt>
                <c:pt idx="37">
                  <c:v>0.38843075305466213</c:v>
                </c:pt>
                <c:pt idx="38">
                  <c:v>0.3821657409086191</c:v>
                </c:pt>
                <c:pt idx="39">
                  <c:v>0.37590072876257608</c:v>
                </c:pt>
                <c:pt idx="40">
                  <c:v>0.36963571661653305</c:v>
                </c:pt>
                <c:pt idx="41">
                  <c:v>0.36337070447049002</c:v>
                </c:pt>
                <c:pt idx="42">
                  <c:v>0.357105692324447</c:v>
                </c:pt>
                <c:pt idx="43">
                  <c:v>0.35084068017840397</c:v>
                </c:pt>
                <c:pt idx="44">
                  <c:v>0.34457566803236095</c:v>
                </c:pt>
                <c:pt idx="45">
                  <c:v>0.33831065588631792</c:v>
                </c:pt>
                <c:pt idx="46">
                  <c:v>0.3320456437402749</c:v>
                </c:pt>
                <c:pt idx="47">
                  <c:v>0.32578063159423187</c:v>
                </c:pt>
                <c:pt idx="48">
                  <c:v>0.31951561944818885</c:v>
                </c:pt>
                <c:pt idx="49">
                  <c:v>0.31325060730214582</c:v>
                </c:pt>
                <c:pt idx="50">
                  <c:v>0.3069855951561028</c:v>
                </c:pt>
                <c:pt idx="51">
                  <c:v>0.30072058301005977</c:v>
                </c:pt>
                <c:pt idx="52">
                  <c:v>0.29445557086401675</c:v>
                </c:pt>
                <c:pt idx="53">
                  <c:v>0.28819055871797372</c:v>
                </c:pt>
                <c:pt idx="54">
                  <c:v>0.2819255465719307</c:v>
                </c:pt>
                <c:pt idx="55">
                  <c:v>0.27566053442588767</c:v>
                </c:pt>
                <c:pt idx="56">
                  <c:v>0.26939552227984465</c:v>
                </c:pt>
                <c:pt idx="57">
                  <c:v>0.26313051013380162</c:v>
                </c:pt>
                <c:pt idx="58">
                  <c:v>0.2568654979877586</c:v>
                </c:pt>
                <c:pt idx="59">
                  <c:v>0.25060048584171557</c:v>
                </c:pt>
                <c:pt idx="60">
                  <c:v>0.24433547369567254</c:v>
                </c:pt>
                <c:pt idx="61">
                  <c:v>0.23807046154962963</c:v>
                </c:pt>
                <c:pt idx="62">
                  <c:v>0.23180544940358661</c:v>
                </c:pt>
                <c:pt idx="63">
                  <c:v>0.22554043725754358</c:v>
                </c:pt>
                <c:pt idx="64">
                  <c:v>0.21927542511150055</c:v>
                </c:pt>
                <c:pt idx="65">
                  <c:v>0.21301041296545753</c:v>
                </c:pt>
                <c:pt idx="66">
                  <c:v>0.2067454008194145</c:v>
                </c:pt>
                <c:pt idx="67">
                  <c:v>0.20048038867337148</c:v>
                </c:pt>
                <c:pt idx="68">
                  <c:v>0.19421537652732845</c:v>
                </c:pt>
                <c:pt idx="69">
                  <c:v>0.18795036438128543</c:v>
                </c:pt>
                <c:pt idx="70">
                  <c:v>0.1816853522352424</c:v>
                </c:pt>
                <c:pt idx="71">
                  <c:v>0.17542034008919938</c:v>
                </c:pt>
                <c:pt idx="72">
                  <c:v>0.16915532794315635</c:v>
                </c:pt>
                <c:pt idx="73">
                  <c:v>0.16289031579711333</c:v>
                </c:pt>
                <c:pt idx="74">
                  <c:v>0.1566253036510703</c:v>
                </c:pt>
                <c:pt idx="75">
                  <c:v>0.15036029150502728</c:v>
                </c:pt>
                <c:pt idx="76">
                  <c:v>0.14409527935898425</c:v>
                </c:pt>
                <c:pt idx="77">
                  <c:v>0.13783026721294123</c:v>
                </c:pt>
                <c:pt idx="78">
                  <c:v>0.1315652550668982</c:v>
                </c:pt>
                <c:pt idx="79">
                  <c:v>0.12530024292085518</c:v>
                </c:pt>
                <c:pt idx="80">
                  <c:v>0.11903523077481215</c:v>
                </c:pt>
                <c:pt idx="81">
                  <c:v>0.11277021862876913</c:v>
                </c:pt>
                <c:pt idx="82">
                  <c:v>0.1065052064827261</c:v>
                </c:pt>
                <c:pt idx="83">
                  <c:v>0.10024019433668307</c:v>
                </c:pt>
                <c:pt idx="84">
                  <c:v>9.397518219064005E-2</c:v>
                </c:pt>
                <c:pt idx="85">
                  <c:v>8.7710170044597024E-2</c:v>
                </c:pt>
                <c:pt idx="86">
                  <c:v>8.1445157898553999E-2</c:v>
                </c:pt>
                <c:pt idx="87">
                  <c:v>7.5180145752510974E-2</c:v>
                </c:pt>
                <c:pt idx="88">
                  <c:v>6.8915133606467949E-2</c:v>
                </c:pt>
                <c:pt idx="89">
                  <c:v>6.2650121460424923E-2</c:v>
                </c:pt>
                <c:pt idx="90">
                  <c:v>5.6385109314381898E-2</c:v>
                </c:pt>
                <c:pt idx="91">
                  <c:v>5.0120097168338873E-2</c:v>
                </c:pt>
                <c:pt idx="92">
                  <c:v>4.3855085022295848E-2</c:v>
                </c:pt>
                <c:pt idx="93">
                  <c:v>3.7590072876252822E-2</c:v>
                </c:pt>
                <c:pt idx="94">
                  <c:v>3.1325060730209797E-2</c:v>
                </c:pt>
                <c:pt idx="95">
                  <c:v>2.5060048584166772E-2</c:v>
                </c:pt>
                <c:pt idx="96">
                  <c:v>1.8795036438123747E-2</c:v>
                </c:pt>
                <c:pt idx="97">
                  <c:v>1.2530024292080721E-2</c:v>
                </c:pt>
                <c:pt idx="98">
                  <c:v>6.2650121460376962E-3</c:v>
                </c:pt>
                <c:pt idx="99">
                  <c:v>-5.3290705182007514E-15</c:v>
                </c:pt>
              </c:numCache>
            </c:numRef>
          </c:xVal>
          <c:yVal>
            <c:numRef>
              <c:f>Gomos!$AU$11:$AU$110</c:f>
              <c:numCache>
                <c:formatCode>0.000</c:formatCode>
                <c:ptCount val="100"/>
                <c:pt idx="0">
                  <c:v>0.43850699513798558</c:v>
                </c:pt>
                <c:pt idx="1">
                  <c:v>0.4384846240441701</c:v>
                </c:pt>
                <c:pt idx="2">
                  <c:v>0.43841750391355611</c:v>
                </c:pt>
                <c:pt idx="3">
                  <c:v>0.43830561418815139</c:v>
                </c:pt>
                <c:pt idx="4">
                  <c:v>0.43814892056963473</c:v>
                </c:pt>
                <c:pt idx="5">
                  <c:v>0.43794737496672287</c:v>
                </c:pt>
                <c:pt idx="6">
                  <c:v>0.43770091542122064</c:v>
                </c:pt>
                <c:pt idx="7">
                  <c:v>0.43740946601248754</c:v>
                </c:pt>
                <c:pt idx="8">
                  <c:v>0.43707293673997749</c:v>
                </c:pt>
                <c:pt idx="9">
                  <c:v>0.43669122338342342</c:v>
                </c:pt>
                <c:pt idx="10">
                  <c:v>0.43626420734015936</c:v>
                </c:pt>
                <c:pt idx="11">
                  <c:v>0.43579175543898019</c:v>
                </c:pt>
                <c:pt idx="12">
                  <c:v>0.4352737197298524</c:v>
                </c:pt>
                <c:pt idx="13">
                  <c:v>0.43470993724869023</c:v>
                </c:pt>
                <c:pt idx="14">
                  <c:v>0.43410022975631113</c:v>
                </c:pt>
                <c:pt idx="15">
                  <c:v>0.4334444034505785</c:v>
                </c:pt>
                <c:pt idx="16">
                  <c:v>0.43274224865062283</c:v>
                </c:pt>
                <c:pt idx="17">
                  <c:v>0.43199353945191227</c:v>
                </c:pt>
                <c:pt idx="18">
                  <c:v>0.43119803335081219</c:v>
                </c:pt>
                <c:pt idx="19">
                  <c:v>0.43035547083713166</c:v>
                </c:pt>
                <c:pt idx="20">
                  <c:v>0.42946557495300397</c:v>
                </c:pt>
                <c:pt idx="21">
                  <c:v>0.42852805081628331</c:v>
                </c:pt>
                <c:pt idx="22">
                  <c:v>0.42754258510646137</c:v>
                </c:pt>
                <c:pt idx="23">
                  <c:v>0.4265088455109135</c:v>
                </c:pt>
                <c:pt idx="24">
                  <c:v>0.42542648012907308</c:v>
                </c:pt>
                <c:pt idx="25">
                  <c:v>0.4242951168319013</c:v>
                </c:pt>
                <c:pt idx="26">
                  <c:v>0.42311436257376667</c:v>
                </c:pt>
                <c:pt idx="27">
                  <c:v>0.42188380265357039</c:v>
                </c:pt>
                <c:pt idx="28">
                  <c:v>0.42060299992165112</c:v>
                </c:pt>
                <c:pt idx="29">
                  <c:v>0.41927149392866198</c:v>
                </c:pt>
                <c:pt idx="30">
                  <c:v>0.41788880001224665</c:v>
                </c:pt>
                <c:pt idx="31">
                  <c:v>0.41645440831692815</c:v>
                </c:pt>
                <c:pt idx="32">
                  <c:v>0.41496778274217122</c:v>
                </c:pt>
                <c:pt idx="33">
                  <c:v>0.41342835981307424</c:v>
                </c:pt>
                <c:pt idx="34">
                  <c:v>0.4118355474675876</c:v>
                </c:pt>
                <c:pt idx="35">
                  <c:v>0.41018872375353055</c:v>
                </c:pt>
                <c:pt idx="36">
                  <c:v>0.40848723542798338</c:v>
                </c:pt>
                <c:pt idx="37">
                  <c:v>0.40673039645085179</c:v>
                </c:pt>
                <c:pt idx="38">
                  <c:v>0.40491748636353214</c:v>
                </c:pt>
                <c:pt idx="39">
                  <c:v>0.40304774854262526</c:v>
                </c:pt>
                <c:pt idx="40">
                  <c:v>0.40112038831754881</c:v>
                </c:pt>
                <c:pt idx="41">
                  <c:v>0.39913457093966043</c:v>
                </c:pt>
                <c:pt idx="42">
                  <c:v>0.39708941938910486</c:v>
                </c:pt>
                <c:pt idx="43">
                  <c:v>0.39498401200401745</c:v>
                </c:pt>
                <c:pt idx="44">
                  <c:v>0.39281737991492571</c:v>
                </c:pt>
                <c:pt idx="45">
                  <c:v>0.39058850426515135</c:v>
                </c:pt>
                <c:pt idx="46">
                  <c:v>0.3882963131956999</c:v>
                </c:pt>
                <c:pt idx="47">
                  <c:v>0.3859396785704754</c:v>
                </c:pt>
                <c:pt idx="48">
                  <c:v>0.38351741241463144</c:v>
                </c:pt>
                <c:pt idx="49">
                  <c:v>0.38102826303539605</c:v>
                </c:pt>
                <c:pt idx="50">
                  <c:v>0.37847091079071232</c:v>
                </c:pt>
                <c:pt idx="51">
                  <c:v>0.37584396346643034</c:v>
                </c:pt>
                <c:pt idx="52">
                  <c:v>0.37314595121746053</c:v>
                </c:pt>
                <c:pt idx="53">
                  <c:v>0.37037532102211579</c:v>
                </c:pt>
                <c:pt idx="54">
                  <c:v>0.36753043059168716</c:v>
                </c:pt>
                <c:pt idx="55">
                  <c:v>0.36460954166890713</c:v>
                </c:pt>
                <c:pt idx="56">
                  <c:v>0.36161081263913269</c:v>
                </c:pt>
                <c:pt idx="57">
                  <c:v>0.35853229036654582</c:v>
                </c:pt>
                <c:pt idx="58">
                  <c:v>0.35537190115406175</c:v>
                </c:pt>
                <c:pt idx="59">
                  <c:v>0.35212744070953506</c:v>
                </c:pt>
                <c:pt idx="60">
                  <c:v>0.34879656298172712</c:v>
                </c:pt>
                <c:pt idx="61">
                  <c:v>0.34537676770667214</c:v>
                </c:pt>
                <c:pt idx="62">
                  <c:v>0.34186538647774073</c:v>
                </c:pt>
                <c:pt idx="63">
                  <c:v>0.33825956711978644</c:v>
                </c:pt>
                <c:pt idx="64">
                  <c:v>0.3345562561079668</c:v>
                </c:pt>
                <c:pt idx="65">
                  <c:v>0.33075217872346274</c:v>
                </c:pt>
                <c:pt idx="66">
                  <c:v>0.32684381657923295</c:v>
                </c:pt>
                <c:pt idx="67">
                  <c:v>0.32282738207634271</c:v>
                </c:pt>
                <c:pt idx="68">
                  <c:v>0.31869878926170159</c:v>
                </c:pt>
                <c:pt idx="69">
                  <c:v>0.31445362044649422</c:v>
                </c:pt>
                <c:pt idx="70">
                  <c:v>0.31008708780496663</c:v>
                </c:pt>
                <c:pt idx="71">
                  <c:v>0.30559398899724144</c:v>
                </c:pt>
                <c:pt idx="72">
                  <c:v>0.30096865563634861</c:v>
                </c:pt>
                <c:pt idx="73">
                  <c:v>0.29620489313358711</c:v>
                </c:pt>
                <c:pt idx="74">
                  <c:v>0.29129591008703221</c:v>
                </c:pt>
                <c:pt idx="75">
                  <c:v>0.28623423489689137</c:v>
                </c:pt>
                <c:pt idx="76">
                  <c:v>0.28101161665847391</c:v>
                </c:pt>
                <c:pt idx="77">
                  <c:v>0.27561890654204618</c:v>
                </c:pt>
                <c:pt idx="78">
                  <c:v>0.2700459147372557</c:v>
                </c:pt>
                <c:pt idx="79">
                  <c:v>0.26428123649921303</c:v>
                </c:pt>
                <c:pt idx="80">
                  <c:v>0.25831203870754582</c:v>
                </c:pt>
                <c:pt idx="81">
                  <c:v>0.25212379537316221</c:v>
                </c:pt>
                <c:pt idx="82">
                  <c:v>0.2456999562920423</c:v>
                </c:pt>
                <c:pt idx="83">
                  <c:v>0.23902152691102677</c:v>
                </c:pt>
                <c:pt idx="84">
                  <c:v>0.23206652841000086</c:v>
                </c:pt>
                <c:pt idx="85">
                  <c:v>0.22480929332677646</c:v>
                </c:pt>
                <c:pt idx="86">
                  <c:v>0.21721953089057938</c:v>
                </c:pt>
                <c:pt idx="87">
                  <c:v>0.20926106257731253</c:v>
                </c:pt>
                <c:pt idx="88">
                  <c:v>0.20089007316956298</c:v>
                </c:pt>
                <c:pt idx="89">
                  <c:v>0.19205262862450651</c:v>
                </c:pt>
                <c:pt idx="90">
                  <c:v>0.18268104527157905</c:v>
                </c:pt>
                <c:pt idx="91">
                  <c:v>0.17268838385332894</c:v>
                </c:pt>
                <c:pt idx="92">
                  <c:v>0.16195972650834062</c:v>
                </c:pt>
                <c:pt idx="93">
                  <c:v>0.15033758538656292</c:v>
                </c:pt>
                <c:pt idx="94">
                  <c:v>0.13759573985226287</c:v>
                </c:pt>
                <c:pt idx="95">
                  <c:v>0.12338779172813223</c:v>
                </c:pt>
                <c:pt idx="96">
                  <c:v>0.10713201270405642</c:v>
                </c:pt>
                <c:pt idx="97">
                  <c:v>8.7696924808815926E-2</c:v>
                </c:pt>
                <c:pt idx="98">
                  <c:v>6.2169080516346682E-2</c:v>
                </c:pt>
                <c:pt idx="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C3-4E69-BC73-F0BD08ACB8AD}"/>
            </c:ext>
          </c:extLst>
        </c:ser>
        <c:ser>
          <c:idx val="2"/>
          <c:order val="2"/>
          <c:tx>
            <c:v>Altura</c:v>
          </c:tx>
          <c:spPr>
            <a:ln w="25400">
              <a:solidFill>
                <a:schemeClr val="tx1"/>
              </a:solidFill>
            </a:ln>
          </c:spPr>
          <c:marker>
            <c:symbol val="none"/>
          </c:marker>
          <c:dPt>
            <c:idx val="1"/>
            <c:bubble3D val="0"/>
            <c:spPr>
              <a:ln w="25400">
                <a:solidFill>
                  <a:schemeClr val="tx1"/>
                </a:solidFill>
                <a:headEnd type="triangle" w="med" len="lg"/>
                <a:tailEnd type="none" w="med" len="lg"/>
              </a:ln>
            </c:spPr>
            <c:extLst>
              <c:ext xmlns:c16="http://schemas.microsoft.com/office/drawing/2014/chart" uri="{C3380CC4-5D6E-409C-BE32-E72D297353CC}">
                <c16:uniqueId val="{00000008-BCC3-4E69-BC73-F0BD08ACB8AD}"/>
              </c:ext>
            </c:extLst>
          </c:dPt>
          <c:dPt>
            <c:idx val="2"/>
            <c:bubble3D val="0"/>
            <c:spPr>
              <a:ln w="25400">
                <a:solidFill>
                  <a:schemeClr val="tx1"/>
                </a:solidFill>
                <a:headEnd type="none" w="med" len="lg"/>
                <a:tailEnd type="triangle" w="med" len="lg"/>
              </a:ln>
            </c:spPr>
            <c:extLst>
              <c:ext xmlns:c16="http://schemas.microsoft.com/office/drawing/2014/chart" uri="{C3380CC4-5D6E-409C-BE32-E72D297353CC}">
                <c16:uniqueId val="{00000003-BCC3-4E69-BC73-F0BD08ACB8AD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CC3-4E69-BC73-F0BD08ACB8AD}"/>
                </c:ext>
              </c:extLst>
            </c:dLbl>
            <c:dLbl>
              <c:idx val="1"/>
              <c:tx>
                <c:rich>
                  <a:bodyPr rot="-5400000" vert="horz" wrap="square" lIns="38100" tIns="19050" rIns="38100" bIns="19050" anchor="ctr">
                    <a:spAutoFit/>
                  </a:bodyPr>
                  <a:lstStyle/>
                  <a:p>
                    <a:pPr>
                      <a:defRPr/>
                    </a:pPr>
                    <a:fld id="{43F6C023-2566-4A62-907C-19B50DEC1D92}" type="CELLREF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/>
                      </a:pPr>
                      <a:t>[CELLREF]</a:t>
                    </a:fld>
                    <a:endParaRPr lang="pt-BR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{43F6C023-2566-4A62-907C-19B50DEC1D92}</c15:txfldGUID>
                      <c15:f>Gomos!$AO$18</c15:f>
                      <c15:dlblFieldTableCache>
                        <c:ptCount val="1"/>
                        <c:pt idx="0">
                          <c:v>Altura: 0,439 m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8-BCC3-4E69-BC73-F0BD08ACB8AD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CC3-4E69-BC73-F0BD08ACB8AD}"/>
                </c:ext>
              </c:extLst>
            </c:dLbl>
            <c:spPr>
              <a:noFill/>
              <a:ln>
                <a:noFill/>
              </a:ln>
              <a:effectLst/>
            </c:sp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Gomos!$AP$15:$AP$17</c:f>
              <c:numCache>
                <c:formatCode>0.000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Gomos!$AQ$15:$AQ$17</c:f>
              <c:numCache>
                <c:formatCode>0.000</c:formatCode>
                <c:ptCount val="3"/>
                <c:pt idx="0">
                  <c:v>0</c:v>
                </c:pt>
                <c:pt idx="1">
                  <c:v>0.21925349756899279</c:v>
                </c:pt>
                <c:pt idx="2">
                  <c:v>0.43850699513798558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CC3-4E69-BC73-F0BD08ACB8AD}"/>
            </c:ext>
          </c:extLst>
        </c:ser>
        <c:ser>
          <c:idx val="3"/>
          <c:order val="3"/>
          <c:tx>
            <c:v>Diâmetro</c:v>
          </c:tx>
          <c:spPr>
            <a:ln w="15875">
              <a:solidFill>
                <a:schemeClr val="tx1"/>
              </a:solidFill>
              <a:headEnd type="triangle" w="med" len="lg"/>
              <a:tailEnd type="triangle" w="med" len="lg"/>
            </a:ln>
          </c:spPr>
          <c:marker>
            <c:symbol val="none"/>
          </c:marker>
          <c:dPt>
            <c:idx val="1"/>
            <c:bubble3D val="0"/>
            <c:spPr>
              <a:ln w="15875">
                <a:solidFill>
                  <a:schemeClr val="tx1"/>
                </a:solidFill>
                <a:headEnd type="triangle" w="med" len="lg"/>
                <a:tailEnd type="none" w="med" len="lg"/>
              </a:ln>
            </c:spPr>
            <c:extLst>
              <c:ext xmlns:c16="http://schemas.microsoft.com/office/drawing/2014/chart" uri="{C3380CC4-5D6E-409C-BE32-E72D297353CC}">
                <c16:uniqueId val="{00000009-BCC3-4E69-BC73-F0BD08ACB8AD}"/>
              </c:ext>
            </c:extLst>
          </c:dPt>
          <c:dPt>
            <c:idx val="2"/>
            <c:bubble3D val="0"/>
            <c:spPr>
              <a:ln w="15875">
                <a:solidFill>
                  <a:schemeClr val="tx1"/>
                </a:solidFill>
                <a:headEnd type="none" w="med" len="lg"/>
                <a:tailEnd type="triangle" w="med" len="lg"/>
              </a:ln>
            </c:spPr>
            <c:extLst>
              <c:ext xmlns:c16="http://schemas.microsoft.com/office/drawing/2014/chart" uri="{C3380CC4-5D6E-409C-BE32-E72D297353CC}">
                <c16:uniqueId val="{00000005-BCC3-4E69-BC73-F0BD08ACB8AD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CC3-4E69-BC73-F0BD08ACB8A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6780696-C24E-4994-A67E-08C2C258C5AC}" type="CELLREF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pt-BR"/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{A6780696-C24E-4994-A67E-08C2C258C5AC}</c15:txfldGUID>
                      <c15:f>Gomos!$AO$11</c15:f>
                      <c15:dlblFieldTableCache>
                        <c:ptCount val="1"/>
                        <c:pt idx="0">
                          <c:v>Diâmetro: 1,24 m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9-BCC3-4E69-BC73-F0BD08ACB8AD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CC3-4E69-BC73-F0BD08ACB8AD}"/>
                </c:ext>
              </c:extLst>
            </c:dLbl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Gomos!$AP$8:$AP$10</c:f>
              <c:numCache>
                <c:formatCode>0.000</c:formatCode>
                <c:ptCount val="3"/>
                <c:pt idx="0">
                  <c:v>0</c:v>
                </c:pt>
                <c:pt idx="1">
                  <c:v>0.62023620245825406</c:v>
                </c:pt>
                <c:pt idx="2">
                  <c:v>1.2404724049165081</c:v>
                </c:pt>
              </c:numCache>
            </c:numRef>
          </c:xVal>
          <c:yVal>
            <c:numRef>
              <c:f>Gomos!$AQ$8:$AQ$10</c:f>
              <c:numCache>
                <c:formatCode>0.000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BCC3-4E69-BC73-F0BD08ACB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470656"/>
        <c:axId val="152472576"/>
      </c:scatterChart>
      <c:valAx>
        <c:axId val="152470656"/>
        <c:scaling>
          <c:orientation val="minMax"/>
          <c:min val="0"/>
        </c:scaling>
        <c:delete val="0"/>
        <c:axPos val="b"/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  <a:alpha val="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52472576"/>
        <c:crosses val="autoZero"/>
        <c:crossBetween val="midCat"/>
        <c:majorUnit val="1.0000000000000003E-4"/>
      </c:valAx>
      <c:valAx>
        <c:axId val="152472576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  <a:alpha val="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524706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317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sz="1200">
                <a:latin typeface="Arial" panose="020B0604020202020204" pitchFamily="34" charset="0"/>
                <a:cs typeface="Arial" panose="020B0604020202020204" pitchFamily="34" charset="0"/>
              </a:rPr>
              <a:t>Gomo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9.0373374524520794E-2"/>
          <c:y val="6.6666703504187602E-2"/>
          <c:w val="0.83150950861233464"/>
          <c:h val="0.93333329649581243"/>
        </c:manualLayout>
      </c:layout>
      <c:scatterChart>
        <c:scatterStyle val="smoothMarker"/>
        <c:varyColors val="0"/>
        <c:ser>
          <c:idx val="0"/>
          <c:order val="0"/>
          <c:tx>
            <c:v>Área útil - Esquerda</c:v>
          </c:tx>
          <c:spPr>
            <a:ln w="158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Escalas!$W$13:$W$20</c:f>
              <c:numCache>
                <c:formatCode>0.000</c:formatCode>
                <c:ptCount val="8"/>
                <c:pt idx="0">
                  <c:v>-16.237745809444021</c:v>
                </c:pt>
                <c:pt idx="1">
                  <c:v>-15.828390873071482</c:v>
                </c:pt>
                <c:pt idx="2">
                  <c:v>-13.384665949877844</c:v>
                </c:pt>
                <c:pt idx="3">
                  <c:v>-10.668037735769181</c:v>
                </c:pt>
                <c:pt idx="4">
                  <c:v>-8.373169153074647</c:v>
                </c:pt>
                <c:pt idx="5">
                  <c:v>-5.6813503290491685</c:v>
                </c:pt>
                <c:pt idx="6">
                  <c:v>-3.6469803422280687</c:v>
                </c:pt>
                <c:pt idx="7">
                  <c:v>0</c:v>
                </c:pt>
              </c:numCache>
            </c:numRef>
          </c:xVal>
          <c:yVal>
            <c:numRef>
              <c:f>Escalas!$AC$13:$AC$20</c:f>
              <c:numCache>
                <c:formatCode>0.000</c:formatCode>
                <c:ptCount val="8"/>
                <c:pt idx="0">
                  <c:v>0</c:v>
                </c:pt>
                <c:pt idx="1">
                  <c:v>9.9237560332736567</c:v>
                </c:pt>
                <c:pt idx="2">
                  <c:v>27.290329091502556</c:v>
                </c:pt>
                <c:pt idx="3">
                  <c:v>39.695024133094627</c:v>
                </c:pt>
                <c:pt idx="4">
                  <c:v>49.618780166368282</c:v>
                </c:pt>
                <c:pt idx="5">
                  <c:v>59.542536199641937</c:v>
                </c:pt>
                <c:pt idx="6">
                  <c:v>66.985353224597176</c:v>
                </c:pt>
                <c:pt idx="7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798-4F0A-AC50-78BBCDEDB23E}"/>
            </c:ext>
          </c:extLst>
        </c:ser>
        <c:ser>
          <c:idx val="4"/>
          <c:order val="1"/>
          <c:tx>
            <c:v>Área útil - Direita</c:v>
          </c:tx>
          <c:spPr>
            <a:ln w="158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Escalas!$Z$13:$Z$20</c:f>
              <c:numCache>
                <c:formatCode>0.000</c:formatCode>
                <c:ptCount val="8"/>
                <c:pt idx="0">
                  <c:v>16.237745809444021</c:v>
                </c:pt>
                <c:pt idx="1">
                  <c:v>15.828390873071482</c:v>
                </c:pt>
                <c:pt idx="2">
                  <c:v>13.384665949877844</c:v>
                </c:pt>
                <c:pt idx="3">
                  <c:v>10.668037735769181</c:v>
                </c:pt>
                <c:pt idx="4">
                  <c:v>8.373169153074647</c:v>
                </c:pt>
                <c:pt idx="5">
                  <c:v>5.6813503290491685</c:v>
                </c:pt>
                <c:pt idx="6">
                  <c:v>3.6469803422280687</c:v>
                </c:pt>
                <c:pt idx="7">
                  <c:v>0</c:v>
                </c:pt>
              </c:numCache>
            </c:numRef>
          </c:xVal>
          <c:yVal>
            <c:numRef>
              <c:f>Escalas!$AC$13:$AC$20</c:f>
              <c:numCache>
                <c:formatCode>0.000</c:formatCode>
                <c:ptCount val="8"/>
                <c:pt idx="0">
                  <c:v>0</c:v>
                </c:pt>
                <c:pt idx="1">
                  <c:v>9.9237560332736567</c:v>
                </c:pt>
                <c:pt idx="2">
                  <c:v>27.290329091502556</c:v>
                </c:pt>
                <c:pt idx="3">
                  <c:v>39.695024133094627</c:v>
                </c:pt>
                <c:pt idx="4">
                  <c:v>49.618780166368282</c:v>
                </c:pt>
                <c:pt idx="5">
                  <c:v>59.542536199641937</c:v>
                </c:pt>
                <c:pt idx="6">
                  <c:v>66.985353224597176</c:v>
                </c:pt>
                <c:pt idx="7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798-4F0A-AC50-78BBCDEDB23E}"/>
            </c:ext>
          </c:extLst>
        </c:ser>
        <c:ser>
          <c:idx val="3"/>
          <c:order val="2"/>
          <c:tx>
            <c:v>Área útil - Inferior</c:v>
          </c:tx>
          <c:spPr>
            <a:ln w="158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Escalas!$W$26:$W$27</c:f>
              <c:numCache>
                <c:formatCode>0.000</c:formatCode>
                <c:ptCount val="2"/>
                <c:pt idx="0">
                  <c:v>-16.237745809444021</c:v>
                </c:pt>
                <c:pt idx="1">
                  <c:v>16.237745809444021</c:v>
                </c:pt>
              </c:numCache>
            </c:numRef>
          </c:xVal>
          <c:yVal>
            <c:numRef>
              <c:f>Escalas!$AC$26:$AC$27</c:f>
              <c:numCache>
                <c:formatCode>0.000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C798-4F0A-AC50-78BBCDEDB23E}"/>
            </c:ext>
          </c:extLst>
        </c:ser>
        <c:ser>
          <c:idx val="1"/>
          <c:order val="3"/>
          <c:tx>
            <c:v>Linha de corte - Esquerda</c:v>
          </c:tx>
          <c:spPr>
            <a:ln w="15875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Escalas!$AF$13:$AF$21</c:f>
              <c:numCache>
                <c:formatCode>0.00</c:formatCode>
                <c:ptCount val="9"/>
                <c:pt idx="0">
                  <c:v>-18.237745809444021</c:v>
                </c:pt>
                <c:pt idx="1">
                  <c:v>-18.237745809444021</c:v>
                </c:pt>
                <c:pt idx="2">
                  <c:v>-17.828390873071484</c:v>
                </c:pt>
                <c:pt idx="3">
                  <c:v>-15.384665949877844</c:v>
                </c:pt>
                <c:pt idx="4">
                  <c:v>-12.668037735769181</c:v>
                </c:pt>
                <c:pt idx="5">
                  <c:v>-10.373169153074647</c:v>
                </c:pt>
                <c:pt idx="6">
                  <c:v>-7.6813503290491685</c:v>
                </c:pt>
                <c:pt idx="7">
                  <c:v>-5.6469803422280691</c:v>
                </c:pt>
                <c:pt idx="8">
                  <c:v>-2</c:v>
                </c:pt>
              </c:numCache>
            </c:numRef>
          </c:xVal>
          <c:yVal>
            <c:numRef>
              <c:f>Escalas!$AL$13:$AL$21</c:f>
              <c:numCache>
                <c:formatCode>0.00</c:formatCode>
                <c:ptCount val="9"/>
                <c:pt idx="0">
                  <c:v>-2</c:v>
                </c:pt>
                <c:pt idx="1">
                  <c:v>0</c:v>
                </c:pt>
                <c:pt idx="2">
                  <c:v>9.9237560332736567</c:v>
                </c:pt>
                <c:pt idx="3">
                  <c:v>27.290329091502556</c:v>
                </c:pt>
                <c:pt idx="4">
                  <c:v>39.695024133094627</c:v>
                </c:pt>
                <c:pt idx="5">
                  <c:v>49.618780166368282</c:v>
                </c:pt>
                <c:pt idx="6">
                  <c:v>59.542536199641937</c:v>
                </c:pt>
                <c:pt idx="7">
                  <c:v>66.985353224597176</c:v>
                </c:pt>
                <c:pt idx="8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798-4F0A-AC50-78BBCDEDB23E}"/>
            </c:ext>
          </c:extLst>
        </c:ser>
        <c:ser>
          <c:idx val="2"/>
          <c:order val="4"/>
          <c:tx>
            <c:v>Linha de corte - Direita</c:v>
          </c:tx>
          <c:spPr>
            <a:ln w="15875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Escalas!$AI$13:$AI$21</c:f>
              <c:numCache>
                <c:formatCode>0.00</c:formatCode>
                <c:ptCount val="9"/>
                <c:pt idx="0">
                  <c:v>18.237745809444021</c:v>
                </c:pt>
                <c:pt idx="1">
                  <c:v>18.237745809444021</c:v>
                </c:pt>
                <c:pt idx="2">
                  <c:v>17.828390873071484</c:v>
                </c:pt>
                <c:pt idx="3">
                  <c:v>15.384665949877844</c:v>
                </c:pt>
                <c:pt idx="4">
                  <c:v>12.668037735769181</c:v>
                </c:pt>
                <c:pt idx="5">
                  <c:v>10.373169153074647</c:v>
                </c:pt>
                <c:pt idx="6">
                  <c:v>7.6813503290491685</c:v>
                </c:pt>
                <c:pt idx="7">
                  <c:v>5.6469803422280691</c:v>
                </c:pt>
                <c:pt idx="8">
                  <c:v>2</c:v>
                </c:pt>
              </c:numCache>
            </c:numRef>
          </c:xVal>
          <c:yVal>
            <c:numRef>
              <c:f>Escalas!$AL$13:$AL$21</c:f>
              <c:numCache>
                <c:formatCode>0.00</c:formatCode>
                <c:ptCount val="9"/>
                <c:pt idx="0">
                  <c:v>-2</c:v>
                </c:pt>
                <c:pt idx="1">
                  <c:v>0</c:v>
                </c:pt>
                <c:pt idx="2">
                  <c:v>9.9237560332736567</c:v>
                </c:pt>
                <c:pt idx="3">
                  <c:v>27.290329091502556</c:v>
                </c:pt>
                <c:pt idx="4">
                  <c:v>39.695024133094627</c:v>
                </c:pt>
                <c:pt idx="5">
                  <c:v>49.618780166368282</c:v>
                </c:pt>
                <c:pt idx="6">
                  <c:v>59.542536199641937</c:v>
                </c:pt>
                <c:pt idx="7">
                  <c:v>66.985353224597176</c:v>
                </c:pt>
                <c:pt idx="8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798-4F0A-AC50-78BBCDEDB23E}"/>
            </c:ext>
          </c:extLst>
        </c:ser>
        <c:ser>
          <c:idx val="6"/>
          <c:order val="5"/>
          <c:tx>
            <c:v>Linha de corte - Superior</c:v>
          </c:tx>
          <c:spPr>
            <a:ln w="15875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Escalas!$AF$26:$AF$27</c:f>
              <c:numCache>
                <c:formatCode>0.000</c:formatCode>
                <c:ptCount val="2"/>
                <c:pt idx="0">
                  <c:v>-2</c:v>
                </c:pt>
                <c:pt idx="1">
                  <c:v>2</c:v>
                </c:pt>
              </c:numCache>
            </c:numRef>
          </c:xVal>
          <c:yVal>
            <c:numRef>
              <c:f>Escalas!$AL$26:$AL$27</c:f>
              <c:numCache>
                <c:formatCode>0.000</c:formatCode>
                <c:ptCount val="2"/>
                <c:pt idx="0">
                  <c:v>80.407421286688049</c:v>
                </c:pt>
                <c:pt idx="1">
                  <c:v>80.407421286688049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798-4F0A-AC50-78BBCDEDB23E}"/>
            </c:ext>
          </c:extLst>
        </c:ser>
        <c:ser>
          <c:idx val="5"/>
          <c:order val="6"/>
          <c:tx>
            <c:v>Linha de corte - Inferior</c:v>
          </c:tx>
          <c:spPr>
            <a:ln w="15875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Gabarito!$AQ$67:$AQ$69</c:f>
              <c:numCache>
                <c:formatCode>0.00</c:formatCode>
                <c:ptCount val="3"/>
                <c:pt idx="0">
                  <c:v>-18.237745809444021</c:v>
                </c:pt>
                <c:pt idx="1">
                  <c:v>0</c:v>
                </c:pt>
                <c:pt idx="2">
                  <c:v>18.237745809444021</c:v>
                </c:pt>
              </c:numCache>
            </c:numRef>
          </c:xVal>
          <c:yVal>
            <c:numRef>
              <c:f>Gabarito!$AR$67:$AR$69</c:f>
              <c:numCache>
                <c:formatCode>0.00</c:formatCode>
                <c:ptCount val="3"/>
                <c:pt idx="0">
                  <c:v>-2</c:v>
                </c:pt>
                <c:pt idx="1">
                  <c:v>-2</c:v>
                </c:pt>
                <c:pt idx="2">
                  <c:v>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C798-4F0A-AC50-78BBCDEDB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239104"/>
        <c:axId val="152253568"/>
      </c:scatterChart>
      <c:valAx>
        <c:axId val="152239104"/>
        <c:scaling>
          <c:orientation val="minMax"/>
        </c:scaling>
        <c:delete val="1"/>
        <c:axPos val="b"/>
        <c:numFmt formatCode="0" sourceLinked="0"/>
        <c:majorTickMark val="out"/>
        <c:minorTickMark val="none"/>
        <c:tickLblPos val="none"/>
        <c:crossAx val="152253568"/>
        <c:crosses val="autoZero"/>
        <c:crossBetween val="midCat"/>
        <c:majorUnit val="10"/>
      </c:valAx>
      <c:valAx>
        <c:axId val="152253568"/>
        <c:scaling>
          <c:orientation val="minMax"/>
        </c:scaling>
        <c:delete val="1"/>
        <c:axPos val="l"/>
        <c:numFmt formatCode="0" sourceLinked="0"/>
        <c:majorTickMark val="out"/>
        <c:minorTickMark val="none"/>
        <c:tickLblPos val="none"/>
        <c:crossAx val="152239104"/>
        <c:crosses val="autoZero"/>
        <c:crossBetween val="midCat"/>
        <c:majorUnit val="1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Dimensões</a:t>
            </a:r>
            <a:r>
              <a:rPr lang="pt-BR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da semielipse [m]</a:t>
            </a:r>
          </a:p>
        </c:rich>
      </c:tx>
      <c:layout>
        <c:manualLayout>
          <c:xMode val="edge"/>
          <c:yMode val="edge"/>
          <c:x val="0"/>
          <c:y val="1.820250284414106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3.3405850041940639E-2"/>
          <c:y val="0.24518413014072898"/>
          <c:w val="0.95972129772438242"/>
          <c:h val="0.41160982863490186"/>
        </c:manualLayout>
      </c:layout>
      <c:scatterChart>
        <c:scatterStyle val="smoothMarker"/>
        <c:varyColors val="0"/>
        <c:ser>
          <c:idx val="0"/>
          <c:order val="0"/>
          <c:tx>
            <c:v>Dir</c:v>
          </c:tx>
          <c:spPr>
            <a:ln w="15875" cap="sq">
              <a:solidFill>
                <a:srgbClr val="230086"/>
              </a:solidFill>
              <a:round/>
            </a:ln>
            <a:effectLst/>
          </c:spPr>
          <c:marker>
            <c:symbol val="none"/>
          </c:marker>
          <c:xVal>
            <c:numRef>
              <c:f>Gomos!$AT$11:$AT$110</c:f>
              <c:numCache>
                <c:formatCode>0.000</c:formatCode>
                <c:ptCount val="100"/>
                <c:pt idx="0">
                  <c:v>0.62023620245825406</c:v>
                </c:pt>
                <c:pt idx="1">
                  <c:v>0.62650121460429709</c:v>
                </c:pt>
                <c:pt idx="2">
                  <c:v>0.63276622675034011</c:v>
                </c:pt>
                <c:pt idx="3">
                  <c:v>0.63903123889638314</c:v>
                </c:pt>
                <c:pt idx="4">
                  <c:v>0.64529625104242616</c:v>
                </c:pt>
                <c:pt idx="5">
                  <c:v>0.65156126318846919</c:v>
                </c:pt>
                <c:pt idx="6">
                  <c:v>0.65782627533451221</c:v>
                </c:pt>
                <c:pt idx="7">
                  <c:v>0.66409128748055524</c:v>
                </c:pt>
                <c:pt idx="8">
                  <c:v>0.67035629962659826</c:v>
                </c:pt>
                <c:pt idx="9">
                  <c:v>0.67662131177264129</c:v>
                </c:pt>
                <c:pt idx="10">
                  <c:v>0.68288632391868431</c:v>
                </c:pt>
                <c:pt idx="11">
                  <c:v>0.68915133606472734</c:v>
                </c:pt>
                <c:pt idx="12">
                  <c:v>0.69541634821077036</c:v>
                </c:pt>
                <c:pt idx="13">
                  <c:v>0.70168136035681339</c:v>
                </c:pt>
                <c:pt idx="14">
                  <c:v>0.70794637250285641</c:v>
                </c:pt>
                <c:pt idx="15">
                  <c:v>0.71421138464889944</c:v>
                </c:pt>
                <c:pt idx="16">
                  <c:v>0.72047639679494246</c:v>
                </c:pt>
                <c:pt idx="17">
                  <c:v>0.72674140894098549</c:v>
                </c:pt>
                <c:pt idx="18">
                  <c:v>0.73300642108702851</c:v>
                </c:pt>
                <c:pt idx="19">
                  <c:v>0.73927143323307154</c:v>
                </c:pt>
                <c:pt idx="20">
                  <c:v>0.74553644537911457</c:v>
                </c:pt>
                <c:pt idx="21">
                  <c:v>0.75180145752515759</c:v>
                </c:pt>
                <c:pt idx="22">
                  <c:v>0.75806646967120062</c:v>
                </c:pt>
                <c:pt idx="23">
                  <c:v>0.76433148181724364</c:v>
                </c:pt>
                <c:pt idx="24">
                  <c:v>0.77059649396328667</c:v>
                </c:pt>
                <c:pt idx="25">
                  <c:v>0.77686150610932969</c:v>
                </c:pt>
                <c:pt idx="26">
                  <c:v>0.78312651825537272</c:v>
                </c:pt>
                <c:pt idx="27">
                  <c:v>0.78939153040141574</c:v>
                </c:pt>
                <c:pt idx="28">
                  <c:v>0.79565654254745877</c:v>
                </c:pt>
                <c:pt idx="29">
                  <c:v>0.80192155469350179</c:v>
                </c:pt>
                <c:pt idx="30">
                  <c:v>0.80818656683954482</c:v>
                </c:pt>
                <c:pt idx="31">
                  <c:v>0.81445157898558784</c:v>
                </c:pt>
                <c:pt idx="32">
                  <c:v>0.82071659113163087</c:v>
                </c:pt>
                <c:pt idx="33">
                  <c:v>0.82698160327767389</c:v>
                </c:pt>
                <c:pt idx="34">
                  <c:v>0.83324661542371692</c:v>
                </c:pt>
                <c:pt idx="35">
                  <c:v>0.83951162756975994</c:v>
                </c:pt>
                <c:pt idx="36">
                  <c:v>0.84577663971580297</c:v>
                </c:pt>
                <c:pt idx="37">
                  <c:v>0.85204165186184599</c:v>
                </c:pt>
                <c:pt idx="38">
                  <c:v>0.85830666400788902</c:v>
                </c:pt>
                <c:pt idx="39">
                  <c:v>0.86457167615393204</c:v>
                </c:pt>
                <c:pt idx="40">
                  <c:v>0.87083668829997507</c:v>
                </c:pt>
                <c:pt idx="41">
                  <c:v>0.8771017004460181</c:v>
                </c:pt>
                <c:pt idx="42">
                  <c:v>0.88336671259206112</c:v>
                </c:pt>
                <c:pt idx="43">
                  <c:v>0.88963172473810415</c:v>
                </c:pt>
                <c:pt idx="44">
                  <c:v>0.89589673688414717</c:v>
                </c:pt>
                <c:pt idx="45">
                  <c:v>0.9021617490301902</c:v>
                </c:pt>
                <c:pt idx="46">
                  <c:v>0.90842676117623322</c:v>
                </c:pt>
                <c:pt idx="47">
                  <c:v>0.91469177332227625</c:v>
                </c:pt>
                <c:pt idx="48">
                  <c:v>0.92095678546831927</c:v>
                </c:pt>
                <c:pt idx="49">
                  <c:v>0.9272217976143623</c:v>
                </c:pt>
                <c:pt idx="50">
                  <c:v>0.93348680976040532</c:v>
                </c:pt>
                <c:pt idx="51">
                  <c:v>0.93975182190644835</c:v>
                </c:pt>
                <c:pt idx="52">
                  <c:v>0.94601683405249137</c:v>
                </c:pt>
                <c:pt idx="53">
                  <c:v>0.9522818461985344</c:v>
                </c:pt>
                <c:pt idx="54">
                  <c:v>0.95854685834457742</c:v>
                </c:pt>
                <c:pt idx="55">
                  <c:v>0.96481187049062045</c:v>
                </c:pt>
                <c:pt idx="56">
                  <c:v>0.97107688263666347</c:v>
                </c:pt>
                <c:pt idx="57">
                  <c:v>0.9773418947827065</c:v>
                </c:pt>
                <c:pt idx="58">
                  <c:v>0.98360690692874952</c:v>
                </c:pt>
                <c:pt idx="59">
                  <c:v>0.98987191907479255</c:v>
                </c:pt>
                <c:pt idx="60">
                  <c:v>0.99613693122083558</c:v>
                </c:pt>
                <c:pt idx="61">
                  <c:v>1.0024019433668785</c:v>
                </c:pt>
                <c:pt idx="62">
                  <c:v>1.0086669555129215</c:v>
                </c:pt>
                <c:pt idx="63">
                  <c:v>1.0149319676589645</c:v>
                </c:pt>
                <c:pt idx="64">
                  <c:v>1.0211969798050076</c:v>
                </c:pt>
                <c:pt idx="65">
                  <c:v>1.0274619919510506</c:v>
                </c:pt>
                <c:pt idx="66">
                  <c:v>1.0337270040970936</c:v>
                </c:pt>
                <c:pt idx="67">
                  <c:v>1.0399920162431366</c:v>
                </c:pt>
                <c:pt idx="68">
                  <c:v>1.0462570283891797</c:v>
                </c:pt>
                <c:pt idx="69">
                  <c:v>1.0525220405352227</c:v>
                </c:pt>
                <c:pt idx="70">
                  <c:v>1.0587870526812657</c:v>
                </c:pt>
                <c:pt idx="71">
                  <c:v>1.0650520648273087</c:v>
                </c:pt>
                <c:pt idx="72">
                  <c:v>1.0713170769733518</c:v>
                </c:pt>
                <c:pt idx="73">
                  <c:v>1.0775820891193948</c:v>
                </c:pt>
                <c:pt idx="74">
                  <c:v>1.0838471012654378</c:v>
                </c:pt>
                <c:pt idx="75">
                  <c:v>1.0901121134114808</c:v>
                </c:pt>
                <c:pt idx="76">
                  <c:v>1.0963771255575239</c:v>
                </c:pt>
                <c:pt idx="77">
                  <c:v>1.1026421377035669</c:v>
                </c:pt>
                <c:pt idx="78">
                  <c:v>1.1089071498496099</c:v>
                </c:pt>
                <c:pt idx="79">
                  <c:v>1.1151721619956529</c:v>
                </c:pt>
                <c:pt idx="80">
                  <c:v>1.121437174141696</c:v>
                </c:pt>
                <c:pt idx="81">
                  <c:v>1.127702186287739</c:v>
                </c:pt>
                <c:pt idx="82">
                  <c:v>1.133967198433782</c:v>
                </c:pt>
                <c:pt idx="83">
                  <c:v>1.140232210579825</c:v>
                </c:pt>
                <c:pt idx="84">
                  <c:v>1.1464972227258681</c:v>
                </c:pt>
                <c:pt idx="85">
                  <c:v>1.1527622348719111</c:v>
                </c:pt>
                <c:pt idx="86">
                  <c:v>1.1590272470179541</c:v>
                </c:pt>
                <c:pt idx="87">
                  <c:v>1.1652922591639971</c:v>
                </c:pt>
                <c:pt idx="88">
                  <c:v>1.1715572713100402</c:v>
                </c:pt>
                <c:pt idx="89">
                  <c:v>1.1778222834560832</c:v>
                </c:pt>
                <c:pt idx="90">
                  <c:v>1.1840872956021262</c:v>
                </c:pt>
                <c:pt idx="91">
                  <c:v>1.1903523077481692</c:v>
                </c:pt>
                <c:pt idx="92">
                  <c:v>1.1966173198942123</c:v>
                </c:pt>
                <c:pt idx="93">
                  <c:v>1.2028823320402553</c:v>
                </c:pt>
                <c:pt idx="94">
                  <c:v>1.2091473441862983</c:v>
                </c:pt>
                <c:pt idx="95">
                  <c:v>1.2154123563323413</c:v>
                </c:pt>
                <c:pt idx="96">
                  <c:v>1.2216773684783844</c:v>
                </c:pt>
                <c:pt idx="97">
                  <c:v>1.2279423806244274</c:v>
                </c:pt>
                <c:pt idx="98">
                  <c:v>1.2342073927704704</c:v>
                </c:pt>
                <c:pt idx="99">
                  <c:v>1.2404724049165134</c:v>
                </c:pt>
              </c:numCache>
            </c:numRef>
          </c:xVal>
          <c:yVal>
            <c:numRef>
              <c:f>Gomos!$AU$11:$AU$110</c:f>
              <c:numCache>
                <c:formatCode>0.000</c:formatCode>
                <c:ptCount val="100"/>
                <c:pt idx="0">
                  <c:v>0.43850699513798558</c:v>
                </c:pt>
                <c:pt idx="1">
                  <c:v>0.4384846240441701</c:v>
                </c:pt>
                <c:pt idx="2">
                  <c:v>0.43841750391355611</c:v>
                </c:pt>
                <c:pt idx="3">
                  <c:v>0.43830561418815139</c:v>
                </c:pt>
                <c:pt idx="4">
                  <c:v>0.43814892056963473</c:v>
                </c:pt>
                <c:pt idx="5">
                  <c:v>0.43794737496672287</c:v>
                </c:pt>
                <c:pt idx="6">
                  <c:v>0.43770091542122064</c:v>
                </c:pt>
                <c:pt idx="7">
                  <c:v>0.43740946601248754</c:v>
                </c:pt>
                <c:pt idx="8">
                  <c:v>0.43707293673997749</c:v>
                </c:pt>
                <c:pt idx="9">
                  <c:v>0.43669122338342342</c:v>
                </c:pt>
                <c:pt idx="10">
                  <c:v>0.43626420734015936</c:v>
                </c:pt>
                <c:pt idx="11">
                  <c:v>0.43579175543898019</c:v>
                </c:pt>
                <c:pt idx="12">
                  <c:v>0.4352737197298524</c:v>
                </c:pt>
                <c:pt idx="13">
                  <c:v>0.43470993724869023</c:v>
                </c:pt>
                <c:pt idx="14">
                  <c:v>0.43410022975631113</c:v>
                </c:pt>
                <c:pt idx="15">
                  <c:v>0.4334444034505785</c:v>
                </c:pt>
                <c:pt idx="16">
                  <c:v>0.43274224865062283</c:v>
                </c:pt>
                <c:pt idx="17">
                  <c:v>0.43199353945191227</c:v>
                </c:pt>
                <c:pt idx="18">
                  <c:v>0.43119803335081219</c:v>
                </c:pt>
                <c:pt idx="19">
                  <c:v>0.43035547083713166</c:v>
                </c:pt>
                <c:pt idx="20">
                  <c:v>0.42946557495300397</c:v>
                </c:pt>
                <c:pt idx="21">
                  <c:v>0.42852805081628331</c:v>
                </c:pt>
                <c:pt idx="22">
                  <c:v>0.42754258510646137</c:v>
                </c:pt>
                <c:pt idx="23">
                  <c:v>0.4265088455109135</c:v>
                </c:pt>
                <c:pt idx="24">
                  <c:v>0.42542648012907308</c:v>
                </c:pt>
                <c:pt idx="25">
                  <c:v>0.4242951168319013</c:v>
                </c:pt>
                <c:pt idx="26">
                  <c:v>0.42311436257376667</c:v>
                </c:pt>
                <c:pt idx="27">
                  <c:v>0.42188380265357039</c:v>
                </c:pt>
                <c:pt idx="28">
                  <c:v>0.42060299992165112</c:v>
                </c:pt>
                <c:pt idx="29">
                  <c:v>0.41927149392866198</c:v>
                </c:pt>
                <c:pt idx="30">
                  <c:v>0.41788880001224665</c:v>
                </c:pt>
                <c:pt idx="31">
                  <c:v>0.41645440831692815</c:v>
                </c:pt>
                <c:pt idx="32">
                  <c:v>0.41496778274217122</c:v>
                </c:pt>
                <c:pt idx="33">
                  <c:v>0.41342835981307424</c:v>
                </c:pt>
                <c:pt idx="34">
                  <c:v>0.4118355474675876</c:v>
                </c:pt>
                <c:pt idx="35">
                  <c:v>0.41018872375353055</c:v>
                </c:pt>
                <c:pt idx="36">
                  <c:v>0.40848723542798338</c:v>
                </c:pt>
                <c:pt idx="37">
                  <c:v>0.40673039645085179</c:v>
                </c:pt>
                <c:pt idx="38">
                  <c:v>0.40491748636353214</c:v>
                </c:pt>
                <c:pt idx="39">
                  <c:v>0.40304774854262526</c:v>
                </c:pt>
                <c:pt idx="40">
                  <c:v>0.40112038831754881</c:v>
                </c:pt>
                <c:pt idx="41">
                  <c:v>0.39913457093966043</c:v>
                </c:pt>
                <c:pt idx="42">
                  <c:v>0.39708941938910486</c:v>
                </c:pt>
                <c:pt idx="43">
                  <c:v>0.39498401200401745</c:v>
                </c:pt>
                <c:pt idx="44">
                  <c:v>0.39281737991492571</c:v>
                </c:pt>
                <c:pt idx="45">
                  <c:v>0.39058850426515135</c:v>
                </c:pt>
                <c:pt idx="46">
                  <c:v>0.3882963131956999</c:v>
                </c:pt>
                <c:pt idx="47">
                  <c:v>0.3859396785704754</c:v>
                </c:pt>
                <c:pt idx="48">
                  <c:v>0.38351741241463144</c:v>
                </c:pt>
                <c:pt idx="49">
                  <c:v>0.38102826303539605</c:v>
                </c:pt>
                <c:pt idx="50">
                  <c:v>0.37847091079071232</c:v>
                </c:pt>
                <c:pt idx="51">
                  <c:v>0.37584396346643034</c:v>
                </c:pt>
                <c:pt idx="52">
                  <c:v>0.37314595121746053</c:v>
                </c:pt>
                <c:pt idx="53">
                  <c:v>0.37037532102211579</c:v>
                </c:pt>
                <c:pt idx="54">
                  <c:v>0.36753043059168716</c:v>
                </c:pt>
                <c:pt idx="55">
                  <c:v>0.36460954166890713</c:v>
                </c:pt>
                <c:pt idx="56">
                  <c:v>0.36161081263913269</c:v>
                </c:pt>
                <c:pt idx="57">
                  <c:v>0.35853229036654582</c:v>
                </c:pt>
                <c:pt idx="58">
                  <c:v>0.35537190115406175</c:v>
                </c:pt>
                <c:pt idx="59">
                  <c:v>0.35212744070953506</c:v>
                </c:pt>
                <c:pt idx="60">
                  <c:v>0.34879656298172712</c:v>
                </c:pt>
                <c:pt idx="61">
                  <c:v>0.34537676770667214</c:v>
                </c:pt>
                <c:pt idx="62">
                  <c:v>0.34186538647774073</c:v>
                </c:pt>
                <c:pt idx="63">
                  <c:v>0.33825956711978644</c:v>
                </c:pt>
                <c:pt idx="64">
                  <c:v>0.3345562561079668</c:v>
                </c:pt>
                <c:pt idx="65">
                  <c:v>0.33075217872346274</c:v>
                </c:pt>
                <c:pt idx="66">
                  <c:v>0.32684381657923295</c:v>
                </c:pt>
                <c:pt idx="67">
                  <c:v>0.32282738207634271</c:v>
                </c:pt>
                <c:pt idx="68">
                  <c:v>0.31869878926170159</c:v>
                </c:pt>
                <c:pt idx="69">
                  <c:v>0.31445362044649422</c:v>
                </c:pt>
                <c:pt idx="70">
                  <c:v>0.31008708780496663</c:v>
                </c:pt>
                <c:pt idx="71">
                  <c:v>0.30559398899724144</c:v>
                </c:pt>
                <c:pt idx="72">
                  <c:v>0.30096865563634861</c:v>
                </c:pt>
                <c:pt idx="73">
                  <c:v>0.29620489313358711</c:v>
                </c:pt>
                <c:pt idx="74">
                  <c:v>0.29129591008703221</c:v>
                </c:pt>
                <c:pt idx="75">
                  <c:v>0.28623423489689137</c:v>
                </c:pt>
                <c:pt idx="76">
                  <c:v>0.28101161665847391</c:v>
                </c:pt>
                <c:pt idx="77">
                  <c:v>0.27561890654204618</c:v>
                </c:pt>
                <c:pt idx="78">
                  <c:v>0.2700459147372557</c:v>
                </c:pt>
                <c:pt idx="79">
                  <c:v>0.26428123649921303</c:v>
                </c:pt>
                <c:pt idx="80">
                  <c:v>0.25831203870754582</c:v>
                </c:pt>
                <c:pt idx="81">
                  <c:v>0.25212379537316221</c:v>
                </c:pt>
                <c:pt idx="82">
                  <c:v>0.2456999562920423</c:v>
                </c:pt>
                <c:pt idx="83">
                  <c:v>0.23902152691102677</c:v>
                </c:pt>
                <c:pt idx="84">
                  <c:v>0.23206652841000086</c:v>
                </c:pt>
                <c:pt idx="85">
                  <c:v>0.22480929332677646</c:v>
                </c:pt>
                <c:pt idx="86">
                  <c:v>0.21721953089057938</c:v>
                </c:pt>
                <c:pt idx="87">
                  <c:v>0.20926106257731253</c:v>
                </c:pt>
                <c:pt idx="88">
                  <c:v>0.20089007316956298</c:v>
                </c:pt>
                <c:pt idx="89">
                  <c:v>0.19205262862450651</c:v>
                </c:pt>
                <c:pt idx="90">
                  <c:v>0.18268104527157905</c:v>
                </c:pt>
                <c:pt idx="91">
                  <c:v>0.17268838385332894</c:v>
                </c:pt>
                <c:pt idx="92">
                  <c:v>0.16195972650834062</c:v>
                </c:pt>
                <c:pt idx="93">
                  <c:v>0.15033758538656292</c:v>
                </c:pt>
                <c:pt idx="94">
                  <c:v>0.13759573985226287</c:v>
                </c:pt>
                <c:pt idx="95">
                  <c:v>0.12338779172813223</c:v>
                </c:pt>
                <c:pt idx="96">
                  <c:v>0.10713201270405642</c:v>
                </c:pt>
                <c:pt idx="97">
                  <c:v>8.7696924808815926E-2</c:v>
                </c:pt>
                <c:pt idx="98">
                  <c:v>6.2169080516346682E-2</c:v>
                </c:pt>
                <c:pt idx="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82A-439E-8E55-640FE14D68E6}"/>
            </c:ext>
          </c:extLst>
        </c:ser>
        <c:ser>
          <c:idx val="1"/>
          <c:order val="1"/>
          <c:tx>
            <c:v>Esq</c:v>
          </c:tx>
          <c:spPr>
            <a:ln w="15875" cap="sq">
              <a:solidFill>
                <a:srgbClr val="230086"/>
              </a:solidFill>
              <a:round/>
            </a:ln>
            <a:effectLst/>
          </c:spPr>
          <c:marker>
            <c:symbol val="none"/>
          </c:marker>
          <c:xVal>
            <c:numRef>
              <c:f>Gomos!$AV$11:$AV$110</c:f>
              <c:numCache>
                <c:formatCode>0.000</c:formatCode>
                <c:ptCount val="100"/>
                <c:pt idx="0">
                  <c:v>0.62023620245825406</c:v>
                </c:pt>
                <c:pt idx="1">
                  <c:v>0.61397119031221103</c:v>
                </c:pt>
                <c:pt idx="2">
                  <c:v>0.60770617816616801</c:v>
                </c:pt>
                <c:pt idx="3">
                  <c:v>0.60144116602012498</c:v>
                </c:pt>
                <c:pt idx="4">
                  <c:v>0.59517615387408196</c:v>
                </c:pt>
                <c:pt idx="5">
                  <c:v>0.58891114172803893</c:v>
                </c:pt>
                <c:pt idx="6">
                  <c:v>0.58264612958199591</c:v>
                </c:pt>
                <c:pt idx="7">
                  <c:v>0.57638111743595288</c:v>
                </c:pt>
                <c:pt idx="8">
                  <c:v>0.57011610528990986</c:v>
                </c:pt>
                <c:pt idx="9">
                  <c:v>0.56385109314386683</c:v>
                </c:pt>
                <c:pt idx="10">
                  <c:v>0.55758608099782381</c:v>
                </c:pt>
                <c:pt idx="11">
                  <c:v>0.55132106885178078</c:v>
                </c:pt>
                <c:pt idx="12">
                  <c:v>0.54505605670573776</c:v>
                </c:pt>
                <c:pt idx="13">
                  <c:v>0.53879104455969473</c:v>
                </c:pt>
                <c:pt idx="14">
                  <c:v>0.53252603241365171</c:v>
                </c:pt>
                <c:pt idx="15">
                  <c:v>0.52626102026760868</c:v>
                </c:pt>
                <c:pt idx="16">
                  <c:v>0.51999600812156566</c:v>
                </c:pt>
                <c:pt idx="17">
                  <c:v>0.51373099597552263</c:v>
                </c:pt>
                <c:pt idx="18">
                  <c:v>0.50746598382947961</c:v>
                </c:pt>
                <c:pt idx="19">
                  <c:v>0.50120097168343658</c:v>
                </c:pt>
                <c:pt idx="20">
                  <c:v>0.49493595953739355</c:v>
                </c:pt>
                <c:pt idx="21">
                  <c:v>0.48867094739135053</c:v>
                </c:pt>
                <c:pt idx="22">
                  <c:v>0.4824059352453075</c:v>
                </c:pt>
                <c:pt idx="23">
                  <c:v>0.47614092309926448</c:v>
                </c:pt>
                <c:pt idx="24">
                  <c:v>0.46987591095322145</c:v>
                </c:pt>
                <c:pt idx="25">
                  <c:v>0.46361089880717843</c:v>
                </c:pt>
                <c:pt idx="26">
                  <c:v>0.4573458866611354</c:v>
                </c:pt>
                <c:pt idx="27">
                  <c:v>0.45108087451509238</c:v>
                </c:pt>
                <c:pt idx="28">
                  <c:v>0.44481586236904935</c:v>
                </c:pt>
                <c:pt idx="29">
                  <c:v>0.43855085022300633</c:v>
                </c:pt>
                <c:pt idx="30">
                  <c:v>0.4322858380769633</c:v>
                </c:pt>
                <c:pt idx="31">
                  <c:v>0.42602082593092028</c:v>
                </c:pt>
                <c:pt idx="32">
                  <c:v>0.41975581378487725</c:v>
                </c:pt>
                <c:pt idx="33">
                  <c:v>0.41349080163883423</c:v>
                </c:pt>
                <c:pt idx="34">
                  <c:v>0.4072257894927912</c:v>
                </c:pt>
                <c:pt idx="35">
                  <c:v>0.40096077734674818</c:v>
                </c:pt>
                <c:pt idx="36">
                  <c:v>0.39469576520070515</c:v>
                </c:pt>
                <c:pt idx="37">
                  <c:v>0.38843075305466213</c:v>
                </c:pt>
                <c:pt idx="38">
                  <c:v>0.3821657409086191</c:v>
                </c:pt>
                <c:pt idx="39">
                  <c:v>0.37590072876257608</c:v>
                </c:pt>
                <c:pt idx="40">
                  <c:v>0.36963571661653305</c:v>
                </c:pt>
                <c:pt idx="41">
                  <c:v>0.36337070447049002</c:v>
                </c:pt>
                <c:pt idx="42">
                  <c:v>0.357105692324447</c:v>
                </c:pt>
                <c:pt idx="43">
                  <c:v>0.35084068017840397</c:v>
                </c:pt>
                <c:pt idx="44">
                  <c:v>0.34457566803236095</c:v>
                </c:pt>
                <c:pt idx="45">
                  <c:v>0.33831065588631792</c:v>
                </c:pt>
                <c:pt idx="46">
                  <c:v>0.3320456437402749</c:v>
                </c:pt>
                <c:pt idx="47">
                  <c:v>0.32578063159423187</c:v>
                </c:pt>
                <c:pt idx="48">
                  <c:v>0.31951561944818885</c:v>
                </c:pt>
                <c:pt idx="49">
                  <c:v>0.31325060730214582</c:v>
                </c:pt>
                <c:pt idx="50">
                  <c:v>0.3069855951561028</c:v>
                </c:pt>
                <c:pt idx="51">
                  <c:v>0.30072058301005977</c:v>
                </c:pt>
                <c:pt idx="52">
                  <c:v>0.29445557086401675</c:v>
                </c:pt>
                <c:pt idx="53">
                  <c:v>0.28819055871797372</c:v>
                </c:pt>
                <c:pt idx="54">
                  <c:v>0.2819255465719307</c:v>
                </c:pt>
                <c:pt idx="55">
                  <c:v>0.27566053442588767</c:v>
                </c:pt>
                <c:pt idx="56">
                  <c:v>0.26939552227984465</c:v>
                </c:pt>
                <c:pt idx="57">
                  <c:v>0.26313051013380162</c:v>
                </c:pt>
                <c:pt idx="58">
                  <c:v>0.2568654979877586</c:v>
                </c:pt>
                <c:pt idx="59">
                  <c:v>0.25060048584171557</c:v>
                </c:pt>
                <c:pt idx="60">
                  <c:v>0.24433547369567254</c:v>
                </c:pt>
                <c:pt idx="61">
                  <c:v>0.23807046154962963</c:v>
                </c:pt>
                <c:pt idx="62">
                  <c:v>0.23180544940358661</c:v>
                </c:pt>
                <c:pt idx="63">
                  <c:v>0.22554043725754358</c:v>
                </c:pt>
                <c:pt idx="64">
                  <c:v>0.21927542511150055</c:v>
                </c:pt>
                <c:pt idx="65">
                  <c:v>0.21301041296545753</c:v>
                </c:pt>
                <c:pt idx="66">
                  <c:v>0.2067454008194145</c:v>
                </c:pt>
                <c:pt idx="67">
                  <c:v>0.20048038867337148</c:v>
                </c:pt>
                <c:pt idx="68">
                  <c:v>0.19421537652732845</c:v>
                </c:pt>
                <c:pt idx="69">
                  <c:v>0.18795036438128543</c:v>
                </c:pt>
                <c:pt idx="70">
                  <c:v>0.1816853522352424</c:v>
                </c:pt>
                <c:pt idx="71">
                  <c:v>0.17542034008919938</c:v>
                </c:pt>
                <c:pt idx="72">
                  <c:v>0.16915532794315635</c:v>
                </c:pt>
                <c:pt idx="73">
                  <c:v>0.16289031579711333</c:v>
                </c:pt>
                <c:pt idx="74">
                  <c:v>0.1566253036510703</c:v>
                </c:pt>
                <c:pt idx="75">
                  <c:v>0.15036029150502728</c:v>
                </c:pt>
                <c:pt idx="76">
                  <c:v>0.14409527935898425</c:v>
                </c:pt>
                <c:pt idx="77">
                  <c:v>0.13783026721294123</c:v>
                </c:pt>
                <c:pt idx="78">
                  <c:v>0.1315652550668982</c:v>
                </c:pt>
                <c:pt idx="79">
                  <c:v>0.12530024292085518</c:v>
                </c:pt>
                <c:pt idx="80">
                  <c:v>0.11903523077481215</c:v>
                </c:pt>
                <c:pt idx="81">
                  <c:v>0.11277021862876913</c:v>
                </c:pt>
                <c:pt idx="82">
                  <c:v>0.1065052064827261</c:v>
                </c:pt>
                <c:pt idx="83">
                  <c:v>0.10024019433668307</c:v>
                </c:pt>
                <c:pt idx="84">
                  <c:v>9.397518219064005E-2</c:v>
                </c:pt>
                <c:pt idx="85">
                  <c:v>8.7710170044597024E-2</c:v>
                </c:pt>
                <c:pt idx="86">
                  <c:v>8.1445157898553999E-2</c:v>
                </c:pt>
                <c:pt idx="87">
                  <c:v>7.5180145752510974E-2</c:v>
                </c:pt>
                <c:pt idx="88">
                  <c:v>6.8915133606467949E-2</c:v>
                </c:pt>
                <c:pt idx="89">
                  <c:v>6.2650121460424923E-2</c:v>
                </c:pt>
                <c:pt idx="90">
                  <c:v>5.6385109314381898E-2</c:v>
                </c:pt>
                <c:pt idx="91">
                  <c:v>5.0120097168338873E-2</c:v>
                </c:pt>
                <c:pt idx="92">
                  <c:v>4.3855085022295848E-2</c:v>
                </c:pt>
                <c:pt idx="93">
                  <c:v>3.7590072876252822E-2</c:v>
                </c:pt>
                <c:pt idx="94">
                  <c:v>3.1325060730209797E-2</c:v>
                </c:pt>
                <c:pt idx="95">
                  <c:v>2.5060048584166772E-2</c:v>
                </c:pt>
                <c:pt idx="96">
                  <c:v>1.8795036438123747E-2</c:v>
                </c:pt>
                <c:pt idx="97">
                  <c:v>1.2530024292080721E-2</c:v>
                </c:pt>
                <c:pt idx="98">
                  <c:v>6.2650121460376962E-3</c:v>
                </c:pt>
                <c:pt idx="99">
                  <c:v>-5.3290705182007514E-15</c:v>
                </c:pt>
              </c:numCache>
            </c:numRef>
          </c:xVal>
          <c:yVal>
            <c:numRef>
              <c:f>Gomos!$AU$11:$AU$110</c:f>
              <c:numCache>
                <c:formatCode>0.000</c:formatCode>
                <c:ptCount val="100"/>
                <c:pt idx="0">
                  <c:v>0.43850699513798558</c:v>
                </c:pt>
                <c:pt idx="1">
                  <c:v>0.4384846240441701</c:v>
                </c:pt>
                <c:pt idx="2">
                  <c:v>0.43841750391355611</c:v>
                </c:pt>
                <c:pt idx="3">
                  <c:v>0.43830561418815139</c:v>
                </c:pt>
                <c:pt idx="4">
                  <c:v>0.43814892056963473</c:v>
                </c:pt>
                <c:pt idx="5">
                  <c:v>0.43794737496672287</c:v>
                </c:pt>
                <c:pt idx="6">
                  <c:v>0.43770091542122064</c:v>
                </c:pt>
                <c:pt idx="7">
                  <c:v>0.43740946601248754</c:v>
                </c:pt>
                <c:pt idx="8">
                  <c:v>0.43707293673997749</c:v>
                </c:pt>
                <c:pt idx="9">
                  <c:v>0.43669122338342342</c:v>
                </c:pt>
                <c:pt idx="10">
                  <c:v>0.43626420734015936</c:v>
                </c:pt>
                <c:pt idx="11">
                  <c:v>0.43579175543898019</c:v>
                </c:pt>
                <c:pt idx="12">
                  <c:v>0.4352737197298524</c:v>
                </c:pt>
                <c:pt idx="13">
                  <c:v>0.43470993724869023</c:v>
                </c:pt>
                <c:pt idx="14">
                  <c:v>0.43410022975631113</c:v>
                </c:pt>
                <c:pt idx="15">
                  <c:v>0.4334444034505785</c:v>
                </c:pt>
                <c:pt idx="16">
                  <c:v>0.43274224865062283</c:v>
                </c:pt>
                <c:pt idx="17">
                  <c:v>0.43199353945191227</c:v>
                </c:pt>
                <c:pt idx="18">
                  <c:v>0.43119803335081219</c:v>
                </c:pt>
                <c:pt idx="19">
                  <c:v>0.43035547083713166</c:v>
                </c:pt>
                <c:pt idx="20">
                  <c:v>0.42946557495300397</c:v>
                </c:pt>
                <c:pt idx="21">
                  <c:v>0.42852805081628331</c:v>
                </c:pt>
                <c:pt idx="22">
                  <c:v>0.42754258510646137</c:v>
                </c:pt>
                <c:pt idx="23">
                  <c:v>0.4265088455109135</c:v>
                </c:pt>
                <c:pt idx="24">
                  <c:v>0.42542648012907308</c:v>
                </c:pt>
                <c:pt idx="25">
                  <c:v>0.4242951168319013</c:v>
                </c:pt>
                <c:pt idx="26">
                  <c:v>0.42311436257376667</c:v>
                </c:pt>
                <c:pt idx="27">
                  <c:v>0.42188380265357039</c:v>
                </c:pt>
                <c:pt idx="28">
                  <c:v>0.42060299992165112</c:v>
                </c:pt>
                <c:pt idx="29">
                  <c:v>0.41927149392866198</c:v>
                </c:pt>
                <c:pt idx="30">
                  <c:v>0.41788880001224665</c:v>
                </c:pt>
                <c:pt idx="31">
                  <c:v>0.41645440831692815</c:v>
                </c:pt>
                <c:pt idx="32">
                  <c:v>0.41496778274217122</c:v>
                </c:pt>
                <c:pt idx="33">
                  <c:v>0.41342835981307424</c:v>
                </c:pt>
                <c:pt idx="34">
                  <c:v>0.4118355474675876</c:v>
                </c:pt>
                <c:pt idx="35">
                  <c:v>0.41018872375353055</c:v>
                </c:pt>
                <c:pt idx="36">
                  <c:v>0.40848723542798338</c:v>
                </c:pt>
                <c:pt idx="37">
                  <c:v>0.40673039645085179</c:v>
                </c:pt>
                <c:pt idx="38">
                  <c:v>0.40491748636353214</c:v>
                </c:pt>
                <c:pt idx="39">
                  <c:v>0.40304774854262526</c:v>
                </c:pt>
                <c:pt idx="40">
                  <c:v>0.40112038831754881</c:v>
                </c:pt>
                <c:pt idx="41">
                  <c:v>0.39913457093966043</c:v>
                </c:pt>
                <c:pt idx="42">
                  <c:v>0.39708941938910486</c:v>
                </c:pt>
                <c:pt idx="43">
                  <c:v>0.39498401200401745</c:v>
                </c:pt>
                <c:pt idx="44">
                  <c:v>0.39281737991492571</c:v>
                </c:pt>
                <c:pt idx="45">
                  <c:v>0.39058850426515135</c:v>
                </c:pt>
                <c:pt idx="46">
                  <c:v>0.3882963131956999</c:v>
                </c:pt>
                <c:pt idx="47">
                  <c:v>0.3859396785704754</c:v>
                </c:pt>
                <c:pt idx="48">
                  <c:v>0.38351741241463144</c:v>
                </c:pt>
                <c:pt idx="49">
                  <c:v>0.38102826303539605</c:v>
                </c:pt>
                <c:pt idx="50">
                  <c:v>0.37847091079071232</c:v>
                </c:pt>
                <c:pt idx="51">
                  <c:v>0.37584396346643034</c:v>
                </c:pt>
                <c:pt idx="52">
                  <c:v>0.37314595121746053</c:v>
                </c:pt>
                <c:pt idx="53">
                  <c:v>0.37037532102211579</c:v>
                </c:pt>
                <c:pt idx="54">
                  <c:v>0.36753043059168716</c:v>
                </c:pt>
                <c:pt idx="55">
                  <c:v>0.36460954166890713</c:v>
                </c:pt>
                <c:pt idx="56">
                  <c:v>0.36161081263913269</c:v>
                </c:pt>
                <c:pt idx="57">
                  <c:v>0.35853229036654582</c:v>
                </c:pt>
                <c:pt idx="58">
                  <c:v>0.35537190115406175</c:v>
                </c:pt>
                <c:pt idx="59">
                  <c:v>0.35212744070953506</c:v>
                </c:pt>
                <c:pt idx="60">
                  <c:v>0.34879656298172712</c:v>
                </c:pt>
                <c:pt idx="61">
                  <c:v>0.34537676770667214</c:v>
                </c:pt>
                <c:pt idx="62">
                  <c:v>0.34186538647774073</c:v>
                </c:pt>
                <c:pt idx="63">
                  <c:v>0.33825956711978644</c:v>
                </c:pt>
                <c:pt idx="64">
                  <c:v>0.3345562561079668</c:v>
                </c:pt>
                <c:pt idx="65">
                  <c:v>0.33075217872346274</c:v>
                </c:pt>
                <c:pt idx="66">
                  <c:v>0.32684381657923295</c:v>
                </c:pt>
                <c:pt idx="67">
                  <c:v>0.32282738207634271</c:v>
                </c:pt>
                <c:pt idx="68">
                  <c:v>0.31869878926170159</c:v>
                </c:pt>
                <c:pt idx="69">
                  <c:v>0.31445362044649422</c:v>
                </c:pt>
                <c:pt idx="70">
                  <c:v>0.31008708780496663</c:v>
                </c:pt>
                <c:pt idx="71">
                  <c:v>0.30559398899724144</c:v>
                </c:pt>
                <c:pt idx="72">
                  <c:v>0.30096865563634861</c:v>
                </c:pt>
                <c:pt idx="73">
                  <c:v>0.29620489313358711</c:v>
                </c:pt>
                <c:pt idx="74">
                  <c:v>0.29129591008703221</c:v>
                </c:pt>
                <c:pt idx="75">
                  <c:v>0.28623423489689137</c:v>
                </c:pt>
                <c:pt idx="76">
                  <c:v>0.28101161665847391</c:v>
                </c:pt>
                <c:pt idx="77">
                  <c:v>0.27561890654204618</c:v>
                </c:pt>
                <c:pt idx="78">
                  <c:v>0.2700459147372557</c:v>
                </c:pt>
                <c:pt idx="79">
                  <c:v>0.26428123649921303</c:v>
                </c:pt>
                <c:pt idx="80">
                  <c:v>0.25831203870754582</c:v>
                </c:pt>
                <c:pt idx="81">
                  <c:v>0.25212379537316221</c:v>
                </c:pt>
                <c:pt idx="82">
                  <c:v>0.2456999562920423</c:v>
                </c:pt>
                <c:pt idx="83">
                  <c:v>0.23902152691102677</c:v>
                </c:pt>
                <c:pt idx="84">
                  <c:v>0.23206652841000086</c:v>
                </c:pt>
                <c:pt idx="85">
                  <c:v>0.22480929332677646</c:v>
                </c:pt>
                <c:pt idx="86">
                  <c:v>0.21721953089057938</c:v>
                </c:pt>
                <c:pt idx="87">
                  <c:v>0.20926106257731253</c:v>
                </c:pt>
                <c:pt idx="88">
                  <c:v>0.20089007316956298</c:v>
                </c:pt>
                <c:pt idx="89">
                  <c:v>0.19205262862450651</c:v>
                </c:pt>
                <c:pt idx="90">
                  <c:v>0.18268104527157905</c:v>
                </c:pt>
                <c:pt idx="91">
                  <c:v>0.17268838385332894</c:v>
                </c:pt>
                <c:pt idx="92">
                  <c:v>0.16195972650834062</c:v>
                </c:pt>
                <c:pt idx="93">
                  <c:v>0.15033758538656292</c:v>
                </c:pt>
                <c:pt idx="94">
                  <c:v>0.13759573985226287</c:v>
                </c:pt>
                <c:pt idx="95">
                  <c:v>0.12338779172813223</c:v>
                </c:pt>
                <c:pt idx="96">
                  <c:v>0.10713201270405642</c:v>
                </c:pt>
                <c:pt idx="97">
                  <c:v>8.7696924808815926E-2</c:v>
                </c:pt>
                <c:pt idx="98">
                  <c:v>6.2169080516346682E-2</c:v>
                </c:pt>
                <c:pt idx="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82A-439E-8E55-640FE14D68E6}"/>
            </c:ext>
          </c:extLst>
        </c:ser>
        <c:ser>
          <c:idx val="2"/>
          <c:order val="2"/>
          <c:tx>
            <c:strRef>
              <c:f>Gomos!$AX$20</c:f>
              <c:strCache>
                <c:ptCount val="1"/>
                <c:pt idx="0">
                  <c:v> Raio menor da semielipse (b): 0,439 m</c:v>
                </c:pt>
              </c:strCache>
            </c:strRef>
          </c:tx>
          <c:spPr>
            <a:ln w="12700" cap="sq">
              <a:solidFill>
                <a:schemeClr val="tx1"/>
              </a:solidFill>
              <a:prstDash val="solid"/>
              <a:round/>
            </a:ln>
            <a:effectLst/>
          </c:spPr>
          <c:marker>
            <c:symbol val="none"/>
          </c:marker>
          <c:dPt>
            <c:idx val="1"/>
            <c:bubble3D val="0"/>
            <c:spPr>
              <a:ln w="12700" cap="sq">
                <a:solidFill>
                  <a:schemeClr val="tx1"/>
                </a:solidFill>
                <a:prstDash val="solid"/>
                <a:round/>
                <a:headEnd type="triangle" w="sm" len="lg"/>
                <a:tailEnd type="none" w="sm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0-6DBE-4E8E-890C-597A8241C30A}"/>
              </c:ext>
            </c:extLst>
          </c:dPt>
          <c:dPt>
            <c:idx val="2"/>
            <c:bubble3D val="0"/>
            <c:spPr>
              <a:ln w="12700" cap="sq">
                <a:solidFill>
                  <a:schemeClr val="tx1"/>
                </a:solidFill>
                <a:prstDash val="solid"/>
                <a:round/>
                <a:tailEnd type="triangle" w="sm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2-6DBE-4E8E-890C-597A8241C30A}"/>
              </c:ext>
            </c:extLst>
          </c:dPt>
          <c:dLbls>
            <c:dLbl>
              <c:idx val="1"/>
              <c:tx>
                <c:rich>
                  <a:bodyPr/>
                  <a:lstStyle/>
                  <a:p>
                    <a:fld id="{266B5D66-E2AF-46F8-A203-953B1BC23C4A}" type="CELLREF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pt-BR"/>
                  </a:p>
                </c:rich>
              </c:tx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{266B5D66-E2AF-46F8-A203-953B1BC23C4A}</c15:txfldGUID>
                      <c15:f>Gomos!$AX$11</c15:f>
                      <c15:dlblFieldTableCache>
                        <c:ptCount val="1"/>
                        <c:pt idx="0">
                          <c:v>b: 0,439 m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0-6DBE-4E8E-890C-597A8241C30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Gomos!$AY$8:$AY$10</c:f>
              <c:numCache>
                <c:formatCode>0.000</c:formatCode>
                <c:ptCount val="3"/>
                <c:pt idx="0">
                  <c:v>0.62023620245825406</c:v>
                </c:pt>
                <c:pt idx="1">
                  <c:v>0.62023620245825406</c:v>
                </c:pt>
                <c:pt idx="2">
                  <c:v>0.62023620245825406</c:v>
                </c:pt>
              </c:numCache>
            </c:numRef>
          </c:xVal>
          <c:yVal>
            <c:numRef>
              <c:f>Gomos!$AZ$8:$AZ$10</c:f>
              <c:numCache>
                <c:formatCode>0.000</c:formatCode>
                <c:ptCount val="3"/>
                <c:pt idx="0">
                  <c:v>0</c:v>
                </c:pt>
                <c:pt idx="1">
                  <c:v>0.21925349756899279</c:v>
                </c:pt>
                <c:pt idx="2">
                  <c:v>0.43850699513798558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82A-439E-8E55-640FE14D68E6}"/>
            </c:ext>
          </c:extLst>
        </c:ser>
        <c:ser>
          <c:idx val="3"/>
          <c:order val="3"/>
          <c:tx>
            <c:strRef>
              <c:f>Gomos!$AX$21</c:f>
              <c:strCache>
                <c:ptCount val="1"/>
                <c:pt idx="0">
                  <c:v> Raio maior da semielipse (a): 0,62 m</c:v>
                </c:pt>
              </c:strCache>
            </c:strRef>
          </c:tx>
          <c:spPr>
            <a:ln w="12700" cap="sq">
              <a:solidFill>
                <a:schemeClr val="tx1"/>
              </a:solidFill>
              <a:prstDash val="solid"/>
              <a:round/>
              <a:headEnd type="none" w="sm" len="lg"/>
              <a:tailEnd type="none" w="sm" len="lg"/>
            </a:ln>
            <a:effectLst/>
          </c:spPr>
          <c:marker>
            <c:symbol val="none"/>
          </c:marker>
          <c:dPt>
            <c:idx val="1"/>
            <c:bubble3D val="0"/>
            <c:spPr>
              <a:ln w="12700" cap="sq">
                <a:solidFill>
                  <a:schemeClr val="tx1"/>
                </a:solidFill>
                <a:prstDash val="solid"/>
                <a:round/>
                <a:headEnd type="triangle" w="sm" len="lg"/>
                <a:tailEnd type="none" w="sm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1-6DBE-4E8E-890C-597A8241C30A}"/>
              </c:ext>
            </c:extLst>
          </c:dPt>
          <c:dPt>
            <c:idx val="2"/>
            <c:bubble3D val="0"/>
            <c:spPr>
              <a:ln w="12700" cap="sq">
                <a:solidFill>
                  <a:schemeClr val="tx1"/>
                </a:solidFill>
                <a:prstDash val="solid"/>
                <a:round/>
                <a:headEnd type="none" w="sm" len="lg"/>
                <a:tailEnd type="triangle" w="sm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3-6DBE-4E8E-890C-597A8241C30A}"/>
              </c:ext>
            </c:extLst>
          </c:dPt>
          <c:dLbls>
            <c:dLbl>
              <c:idx val="1"/>
              <c:tx>
                <c:rich>
                  <a:bodyPr/>
                  <a:lstStyle/>
                  <a:p>
                    <a:fld id="{617DE658-2F9A-4C94-AE13-83CE316D3785}" type="CELLREF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pt-BR"/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{617DE658-2F9A-4C94-AE13-83CE316D3785}</c15:txfldGUID>
                      <c15:f>Gomos!$AX$18</c15:f>
                      <c15:dlblFieldTableCache>
                        <c:ptCount val="1"/>
                        <c:pt idx="0">
                          <c:v>a: 0,62 m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6DBE-4E8E-890C-597A8241C30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Gomos!$AY$15:$AY$17</c:f>
              <c:numCache>
                <c:formatCode>0.000</c:formatCode>
                <c:ptCount val="3"/>
                <c:pt idx="0">
                  <c:v>0.62023620245825406</c:v>
                </c:pt>
                <c:pt idx="1">
                  <c:v>0.93035430368738115</c:v>
                </c:pt>
                <c:pt idx="2">
                  <c:v>1.2404724049165081</c:v>
                </c:pt>
              </c:numCache>
            </c:numRef>
          </c:xVal>
          <c:yVal>
            <c:numRef>
              <c:f>Gomos!$AZ$15:$AZ$17</c:f>
              <c:numCache>
                <c:formatCode>0.000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82A-439E-8E55-640FE14D6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322816"/>
        <c:axId val="152324352"/>
      </c:scatterChart>
      <c:valAx>
        <c:axId val="152322816"/>
        <c:scaling>
          <c:orientation val="minMax"/>
          <c:min val="0"/>
        </c:scaling>
        <c:delete val="1"/>
        <c:axPos val="b"/>
        <c:numFmt formatCode="0.00" sourceLinked="0"/>
        <c:majorTickMark val="none"/>
        <c:minorTickMark val="none"/>
        <c:tickLblPos val="nextTo"/>
        <c:crossAx val="152324352"/>
        <c:crosses val="autoZero"/>
        <c:crossBetween val="midCat"/>
      </c:valAx>
      <c:valAx>
        <c:axId val="152324352"/>
        <c:scaling>
          <c:orientation val="minMax"/>
        </c:scaling>
        <c:delete val="1"/>
        <c:axPos val="l"/>
        <c:numFmt formatCode="0.00" sourceLinked="0"/>
        <c:majorTickMark val="none"/>
        <c:minorTickMark val="none"/>
        <c:tickLblPos val="nextTo"/>
        <c:crossAx val="152322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317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sz="1200" b="1" i="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pt-BR" sz="1200" b="1" i="0">
                <a:latin typeface="Arial" panose="020B0604020202020204" pitchFamily="34" charset="0"/>
                <a:cs typeface="Arial" panose="020B0604020202020204" pitchFamily="34" charset="0"/>
              </a:rPr>
              <a:t>Gabarito de corte</a:t>
            </a:r>
            <a:r>
              <a:rPr lang="pt-BR" sz="1200" b="1" i="0" baseline="0">
                <a:latin typeface="Arial" panose="020B0604020202020204" pitchFamily="34" charset="0"/>
                <a:cs typeface="Arial" panose="020B0604020202020204" pitchFamily="34" charset="0"/>
              </a:rPr>
              <a:t> para gomo de velame [cm] </a:t>
            </a:r>
            <a:endParaRPr lang="pt-BR" sz="1200" b="1" i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4.8888718160903684E-2"/>
          <c:y val="1.035384429579220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441418017324332"/>
          <c:y val="7.5977777777777783E-2"/>
          <c:w val="0.79165033098241688"/>
          <c:h val="0.89482103174603178"/>
        </c:manualLayout>
      </c:layout>
      <c:scatterChart>
        <c:scatterStyle val="smoothMarker"/>
        <c:varyColors val="0"/>
        <c:ser>
          <c:idx val="0"/>
          <c:order val="0"/>
          <c:tx>
            <c:v>Área útil - Esquerda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elete val="1"/>
          </c:dLbls>
          <c:xVal>
            <c:numRef>
              <c:f>Escalas!$W$13:$W$20</c:f>
              <c:numCache>
                <c:formatCode>0.000</c:formatCode>
                <c:ptCount val="8"/>
                <c:pt idx="0">
                  <c:v>-16.237745809444021</c:v>
                </c:pt>
                <c:pt idx="1">
                  <c:v>-15.828390873071482</c:v>
                </c:pt>
                <c:pt idx="2">
                  <c:v>-13.384665949877844</c:v>
                </c:pt>
                <c:pt idx="3">
                  <c:v>-10.668037735769181</c:v>
                </c:pt>
                <c:pt idx="4">
                  <c:v>-8.373169153074647</c:v>
                </c:pt>
                <c:pt idx="5">
                  <c:v>-5.6813503290491685</c:v>
                </c:pt>
                <c:pt idx="6">
                  <c:v>-3.6469803422280687</c:v>
                </c:pt>
                <c:pt idx="7">
                  <c:v>0</c:v>
                </c:pt>
              </c:numCache>
            </c:numRef>
          </c:xVal>
          <c:yVal>
            <c:numRef>
              <c:f>Escalas!$AC$13:$AC$20</c:f>
              <c:numCache>
                <c:formatCode>0.000</c:formatCode>
                <c:ptCount val="8"/>
                <c:pt idx="0">
                  <c:v>0</c:v>
                </c:pt>
                <c:pt idx="1">
                  <c:v>9.9237560332736567</c:v>
                </c:pt>
                <c:pt idx="2">
                  <c:v>27.290329091502556</c:v>
                </c:pt>
                <c:pt idx="3">
                  <c:v>39.695024133094627</c:v>
                </c:pt>
                <c:pt idx="4">
                  <c:v>49.618780166368282</c:v>
                </c:pt>
                <c:pt idx="5">
                  <c:v>59.542536199641937</c:v>
                </c:pt>
                <c:pt idx="6">
                  <c:v>66.985353224597176</c:v>
                </c:pt>
                <c:pt idx="7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248-4451-862B-2D0017DC4DC8}"/>
            </c:ext>
          </c:extLst>
        </c:ser>
        <c:ser>
          <c:idx val="4"/>
          <c:order val="1"/>
          <c:tx>
            <c:v>  Área útil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elete val="1"/>
          </c:dLbls>
          <c:xVal>
            <c:numRef>
              <c:f>Escalas!$Z$13:$Z$20</c:f>
              <c:numCache>
                <c:formatCode>0.000</c:formatCode>
                <c:ptCount val="8"/>
                <c:pt idx="0">
                  <c:v>16.237745809444021</c:v>
                </c:pt>
                <c:pt idx="1">
                  <c:v>15.828390873071482</c:v>
                </c:pt>
                <c:pt idx="2">
                  <c:v>13.384665949877844</c:v>
                </c:pt>
                <c:pt idx="3">
                  <c:v>10.668037735769181</c:v>
                </c:pt>
                <c:pt idx="4">
                  <c:v>8.373169153074647</c:v>
                </c:pt>
                <c:pt idx="5">
                  <c:v>5.6813503290491685</c:v>
                </c:pt>
                <c:pt idx="6">
                  <c:v>3.6469803422280687</c:v>
                </c:pt>
                <c:pt idx="7">
                  <c:v>0</c:v>
                </c:pt>
              </c:numCache>
            </c:numRef>
          </c:xVal>
          <c:yVal>
            <c:numRef>
              <c:f>Escalas!$AC$13:$AC$20</c:f>
              <c:numCache>
                <c:formatCode>0.000</c:formatCode>
                <c:ptCount val="8"/>
                <c:pt idx="0">
                  <c:v>0</c:v>
                </c:pt>
                <c:pt idx="1">
                  <c:v>9.9237560332736567</c:v>
                </c:pt>
                <c:pt idx="2">
                  <c:v>27.290329091502556</c:v>
                </c:pt>
                <c:pt idx="3">
                  <c:v>39.695024133094627</c:v>
                </c:pt>
                <c:pt idx="4">
                  <c:v>49.618780166368282</c:v>
                </c:pt>
                <c:pt idx="5">
                  <c:v>59.542536199641937</c:v>
                </c:pt>
                <c:pt idx="6">
                  <c:v>66.985353224597176</c:v>
                </c:pt>
                <c:pt idx="7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248-4451-862B-2D0017DC4DC8}"/>
            </c:ext>
          </c:extLst>
        </c:ser>
        <c:ser>
          <c:idx val="3"/>
          <c:order val="2"/>
          <c:tx>
            <c:v>Área útil - Inferior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elete val="1"/>
          </c:dLbls>
          <c:xVal>
            <c:numRef>
              <c:f>Escalas!$W$26:$W$27</c:f>
              <c:numCache>
                <c:formatCode>0.000</c:formatCode>
                <c:ptCount val="2"/>
                <c:pt idx="0">
                  <c:v>-16.237745809444021</c:v>
                </c:pt>
                <c:pt idx="1">
                  <c:v>16.237745809444021</c:v>
                </c:pt>
              </c:numCache>
            </c:numRef>
          </c:xVal>
          <c:yVal>
            <c:numRef>
              <c:f>Escalas!$AC$26:$AC$27</c:f>
              <c:numCache>
                <c:formatCode>0.000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248-4451-862B-2D0017DC4DC8}"/>
            </c:ext>
          </c:extLst>
        </c:ser>
        <c:ser>
          <c:idx val="2"/>
          <c:order val="3"/>
          <c:tx>
            <c:v> Linha de corte</c:v>
          </c:tx>
          <c:spPr>
            <a:ln cap="sq">
              <a:solidFill>
                <a:schemeClr val="tx1"/>
              </a:solidFill>
              <a:prstDash val="dash"/>
            </a:ln>
          </c:spPr>
          <c:marker>
            <c:symbol val="none"/>
          </c:marker>
          <c:dLbls>
            <c:delete val="1"/>
          </c:dLbls>
          <c:xVal>
            <c:numRef>
              <c:f>Escalas!$AI$13:$AI$21</c:f>
              <c:numCache>
                <c:formatCode>0.00</c:formatCode>
                <c:ptCount val="9"/>
                <c:pt idx="0">
                  <c:v>18.237745809444021</c:v>
                </c:pt>
                <c:pt idx="1">
                  <c:v>18.237745809444021</c:v>
                </c:pt>
                <c:pt idx="2">
                  <c:v>17.828390873071484</c:v>
                </c:pt>
                <c:pt idx="3">
                  <c:v>15.384665949877844</c:v>
                </c:pt>
                <c:pt idx="4">
                  <c:v>12.668037735769181</c:v>
                </c:pt>
                <c:pt idx="5">
                  <c:v>10.373169153074647</c:v>
                </c:pt>
                <c:pt idx="6">
                  <c:v>7.6813503290491685</c:v>
                </c:pt>
                <c:pt idx="7">
                  <c:v>5.6469803422280691</c:v>
                </c:pt>
                <c:pt idx="8">
                  <c:v>2</c:v>
                </c:pt>
              </c:numCache>
            </c:numRef>
          </c:xVal>
          <c:yVal>
            <c:numRef>
              <c:f>Escalas!$AL$13:$AL$21</c:f>
              <c:numCache>
                <c:formatCode>0.00</c:formatCode>
                <c:ptCount val="9"/>
                <c:pt idx="0">
                  <c:v>-2</c:v>
                </c:pt>
                <c:pt idx="1">
                  <c:v>0</c:v>
                </c:pt>
                <c:pt idx="2">
                  <c:v>9.9237560332736567</c:v>
                </c:pt>
                <c:pt idx="3">
                  <c:v>27.290329091502556</c:v>
                </c:pt>
                <c:pt idx="4">
                  <c:v>39.695024133094627</c:v>
                </c:pt>
                <c:pt idx="5">
                  <c:v>49.618780166368282</c:v>
                </c:pt>
                <c:pt idx="6">
                  <c:v>59.542536199641937</c:v>
                </c:pt>
                <c:pt idx="7">
                  <c:v>66.985353224597176</c:v>
                </c:pt>
                <c:pt idx="8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248-4451-862B-2D0017DC4DC8}"/>
            </c:ext>
          </c:extLst>
        </c:ser>
        <c:ser>
          <c:idx val="1"/>
          <c:order val="4"/>
          <c:tx>
            <c:v> Linha de corte - Esquerda</c:v>
          </c:tx>
          <c:spPr>
            <a:ln cap="sq">
              <a:solidFill>
                <a:schemeClr val="tx1"/>
              </a:solidFill>
              <a:prstDash val="dash"/>
            </a:ln>
          </c:spPr>
          <c:marker>
            <c:symbol val="none"/>
          </c:marker>
          <c:dLbls>
            <c:delete val="1"/>
          </c:dLbls>
          <c:xVal>
            <c:numRef>
              <c:f>Escalas!$AF$13:$AF$21</c:f>
              <c:numCache>
                <c:formatCode>0.00</c:formatCode>
                <c:ptCount val="9"/>
                <c:pt idx="0">
                  <c:v>-18.237745809444021</c:v>
                </c:pt>
                <c:pt idx="1">
                  <c:v>-18.237745809444021</c:v>
                </c:pt>
                <c:pt idx="2">
                  <c:v>-17.828390873071484</c:v>
                </c:pt>
                <c:pt idx="3">
                  <c:v>-15.384665949877844</c:v>
                </c:pt>
                <c:pt idx="4">
                  <c:v>-12.668037735769181</c:v>
                </c:pt>
                <c:pt idx="5">
                  <c:v>-10.373169153074647</c:v>
                </c:pt>
                <c:pt idx="6">
                  <c:v>-7.6813503290491685</c:v>
                </c:pt>
                <c:pt idx="7">
                  <c:v>-5.6469803422280691</c:v>
                </c:pt>
                <c:pt idx="8">
                  <c:v>-2</c:v>
                </c:pt>
              </c:numCache>
            </c:numRef>
          </c:xVal>
          <c:yVal>
            <c:numRef>
              <c:f>Escalas!$AL$13:$AL$21</c:f>
              <c:numCache>
                <c:formatCode>0.00</c:formatCode>
                <c:ptCount val="9"/>
                <c:pt idx="0">
                  <c:v>-2</c:v>
                </c:pt>
                <c:pt idx="1">
                  <c:v>0</c:v>
                </c:pt>
                <c:pt idx="2">
                  <c:v>9.9237560332736567</c:v>
                </c:pt>
                <c:pt idx="3">
                  <c:v>27.290329091502556</c:v>
                </c:pt>
                <c:pt idx="4">
                  <c:v>39.695024133094627</c:v>
                </c:pt>
                <c:pt idx="5">
                  <c:v>49.618780166368282</c:v>
                </c:pt>
                <c:pt idx="6">
                  <c:v>59.542536199641937</c:v>
                </c:pt>
                <c:pt idx="7">
                  <c:v>66.985353224597176</c:v>
                </c:pt>
                <c:pt idx="8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248-4451-862B-2D0017DC4DC8}"/>
            </c:ext>
          </c:extLst>
        </c:ser>
        <c:ser>
          <c:idx val="6"/>
          <c:order val="5"/>
          <c:tx>
            <c:v>Linha de corte - Superior</c:v>
          </c:tx>
          <c:spPr>
            <a:ln>
              <a:solidFill>
                <a:schemeClr val="tx1"/>
              </a:solidFill>
              <a:prstDash val="dash"/>
            </a:ln>
          </c:spPr>
          <c:marker>
            <c:symbol val="none"/>
          </c:marker>
          <c:dLbls>
            <c:delete val="1"/>
          </c:dLbls>
          <c:xVal>
            <c:numRef>
              <c:f>Escalas!$AF$26:$AF$27</c:f>
              <c:numCache>
                <c:formatCode>0.000</c:formatCode>
                <c:ptCount val="2"/>
                <c:pt idx="0">
                  <c:v>-2</c:v>
                </c:pt>
                <c:pt idx="1">
                  <c:v>2</c:v>
                </c:pt>
              </c:numCache>
            </c:numRef>
          </c:xVal>
          <c:yVal>
            <c:numRef>
              <c:f>Escalas!$AL$26:$AL$27</c:f>
              <c:numCache>
                <c:formatCode>0.000</c:formatCode>
                <c:ptCount val="2"/>
                <c:pt idx="0">
                  <c:v>80.407421286688049</c:v>
                </c:pt>
                <c:pt idx="1">
                  <c:v>80.407421286688049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3248-4451-862B-2D0017DC4DC8}"/>
            </c:ext>
          </c:extLst>
        </c:ser>
        <c:ser>
          <c:idx val="7"/>
          <c:order val="6"/>
          <c:tx>
            <c:v>H1:</c:v>
          </c:tx>
          <c:spPr>
            <a:ln w="19050" cap="sq">
              <a:solidFill>
                <a:schemeClr val="tx1"/>
              </a:solidFill>
            </a:ln>
          </c:spPr>
          <c:marker>
            <c:symbol val="none"/>
          </c:marker>
          <c:dPt>
            <c:idx val="1"/>
            <c:bubble3D val="0"/>
            <c:spPr>
              <a:ln w="19050" cap="sq">
                <a:solidFill>
                  <a:schemeClr val="tx1"/>
                </a:solidFill>
                <a:headEnd type="triangle"/>
              </a:ln>
            </c:spPr>
            <c:extLst>
              <c:ext xmlns:c16="http://schemas.microsoft.com/office/drawing/2014/chart" uri="{C3380CC4-5D6E-409C-BE32-E72D297353CC}">
                <c16:uniqueId val="{00000050-3248-4451-862B-2D0017DC4DC8}"/>
              </c:ext>
            </c:extLst>
          </c:dPt>
          <c:dPt>
            <c:idx val="2"/>
            <c:bubble3D val="0"/>
            <c:spPr>
              <a:ln w="19050" cap="flat">
                <a:solidFill>
                  <a:schemeClr val="tx1"/>
                </a:solidFill>
                <a:tailEnd type="triangle"/>
              </a:ln>
            </c:spPr>
            <c:extLst>
              <c:ext xmlns:c16="http://schemas.microsoft.com/office/drawing/2014/chart" uri="{C3380CC4-5D6E-409C-BE32-E72D297353CC}">
                <c16:uniqueId val="{00000051-3248-4451-862B-2D0017DC4DC8}"/>
              </c:ext>
            </c:extLst>
          </c:dPt>
          <c:dLbls>
            <c:dLbl>
              <c:idx val="1"/>
              <c:layout>
                <c:manualLayout>
                  <c:x val="0.20821300094402478"/>
                  <c:y val="-6.710248189642895E-2"/>
                </c:manualLayout>
              </c:layout>
              <c:tx>
                <c:rich>
                  <a:bodyPr/>
                  <a:lstStyle/>
                  <a:p>
                    <a:fld id="{EC67F9B8-4CF6-4A53-9190-ACC179B1033C}" type="SERIESNAME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[NOME DA SÉRIE]</a:t>
                    </a:fld>
                    <a:r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A804B379-72A2-41BF-AC87-DBC100255D3D}" type="CELLREF"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en-US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dLblPos val="r"/>
              <c:showLegendKey val="0"/>
              <c:showVal val="0"/>
              <c:showCatName val="1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{A804B379-72A2-41BF-AC87-DBC100255D3D}</c15:txfldGUID>
                      <c15:f>Gabarito!$AQ$5:$AR$5</c15:f>
                      <c15:dlblFieldTableCache>
                        <c:ptCount val="2"/>
                        <c:pt idx="0">
                          <c:v>16,24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0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>
                      <a:solidFill>
                        <a:schemeClr val="bg1">
                          <a:lumMod val="50000"/>
                        </a:schemeClr>
                      </a:solidFill>
                    </a:ln>
                  </c:spPr>
                </c15:leaderLines>
              </c:ext>
            </c:extLst>
          </c:dLbls>
          <c:xVal>
            <c:numRef>
              <c:f>Gabarito!$AQ$8:$AQ$10</c:f>
              <c:numCache>
                <c:formatCode>0.00</c:formatCode>
                <c:ptCount val="3"/>
                <c:pt idx="0">
                  <c:v>0</c:v>
                </c:pt>
                <c:pt idx="1">
                  <c:v>8.1188729047220107</c:v>
                </c:pt>
                <c:pt idx="2">
                  <c:v>16.237745809444021</c:v>
                </c:pt>
              </c:numCache>
            </c:numRef>
          </c:xVal>
          <c:yVal>
            <c:numRef>
              <c:f>Gabarito!$AR$8:$AR$10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3248-4451-862B-2D0017DC4DC8}"/>
            </c:ext>
          </c:extLst>
        </c:ser>
        <c:ser>
          <c:idx val="8"/>
          <c:order val="7"/>
          <c:tx>
            <c:v>H2:</c:v>
          </c:tx>
          <c:spPr>
            <a:ln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0.20333502464365161"/>
                  <c:y val="-6.6929241982091742E-2"/>
                </c:manualLayout>
              </c:layout>
              <c:tx>
                <c:rich>
                  <a:bodyPr/>
                  <a:lstStyle/>
                  <a:p>
                    <a:fld id="{E8183ADB-9899-46D8-AC3B-54BEB16A47DE}" type="SERIESNAME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[NOME DA SÉRIE]</a:t>
                    </a:fld>
                    <a:r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0EC052B5-98D2-422D-8108-4761FD1EEEF4}" type="CELLREF"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en-US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dLblPos val="r"/>
              <c:showLegendKey val="0"/>
              <c:showVal val="0"/>
              <c:showCatName val="1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{0EC052B5-98D2-422D-8108-4761FD1EEEF4}</c15:txfldGUID>
                      <c15:f>Gabarito!$AQ$12:$AR$12</c15:f>
                      <c15:dlblFieldTableCache>
                        <c:ptCount val="2"/>
                        <c:pt idx="0">
                          <c:v>15,83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0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>
                      <a:solidFill>
                        <a:schemeClr val="bg1">
                          <a:lumMod val="50000"/>
                        </a:schemeClr>
                      </a:solidFill>
                    </a:ln>
                  </c:spPr>
                </c15:leaderLines>
              </c:ext>
            </c:extLst>
          </c:dLbls>
          <c:xVal>
            <c:numRef>
              <c:f>Gabarito!$AQ$15:$AQ$17</c:f>
              <c:numCache>
                <c:formatCode>0.00</c:formatCode>
                <c:ptCount val="3"/>
                <c:pt idx="0">
                  <c:v>0</c:v>
                </c:pt>
                <c:pt idx="1">
                  <c:v>7.9141954365357412</c:v>
                </c:pt>
                <c:pt idx="2">
                  <c:v>15.828390873071482</c:v>
                </c:pt>
              </c:numCache>
            </c:numRef>
          </c:xVal>
          <c:yVal>
            <c:numRef>
              <c:f>Gabarito!$AR$15:$AR$17</c:f>
              <c:numCache>
                <c:formatCode>0.00</c:formatCode>
                <c:ptCount val="3"/>
                <c:pt idx="0">
                  <c:v>9.9237560332736567</c:v>
                </c:pt>
                <c:pt idx="1">
                  <c:v>9.9237560332736567</c:v>
                </c:pt>
                <c:pt idx="2">
                  <c:v>9.9237560332736567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3248-4451-862B-2D0017DC4DC8}"/>
            </c:ext>
          </c:extLst>
        </c:ser>
        <c:ser>
          <c:idx val="9"/>
          <c:order val="8"/>
          <c:tx>
            <c:v>H3: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0.17748475135899408"/>
                  <c:y val="-5.684517253362853E-2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0905035B-6C08-4531-8D42-9FAA10FF5413}" type="SERIESNAME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644BDA3F-FB99-44CF-8562-85586D8FEC73}" type="CELLREF"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r"/>
              <c:showLegendKey val="0"/>
              <c:showVal val="0"/>
              <c:showCatName val="1"/>
              <c:showSerName val="1"/>
              <c:showPercent val="0"/>
              <c:showBubbleSize val="0"/>
              <c:separator>:</c:separator>
              <c:extLst>
                <c:ext xmlns:c15="http://schemas.microsoft.com/office/drawing/2012/chart" uri="{CE6537A1-D6FC-4f65-9D91-7224C49458BB}">
                  <c15:dlblFieldTable>
                    <c15:dlblFTEntry>
                      <c15:txfldGUID>{644BDA3F-FB99-44CF-8562-85586D8FEC73}</c15:txfldGUID>
                      <c15:f>Gabarito!$AQ$19:$AR$19</c15:f>
                      <c15:dlblFieldTableCache>
                        <c:ptCount val="2"/>
                        <c:pt idx="0">
                          <c:v>13,38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1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>
                      <a:solidFill>
                        <a:schemeClr val="bg1">
                          <a:lumMod val="50000"/>
                        </a:schemeClr>
                      </a:solidFill>
                    </a:ln>
                  </c:spPr>
                </c15:leaderLines>
              </c:ext>
            </c:extLst>
          </c:dLbls>
          <c:xVal>
            <c:numRef>
              <c:f>Gabarito!$AQ$22:$AQ$24</c:f>
              <c:numCache>
                <c:formatCode>0.00</c:formatCode>
                <c:ptCount val="3"/>
                <c:pt idx="0">
                  <c:v>0</c:v>
                </c:pt>
                <c:pt idx="1">
                  <c:v>6.692332974938922</c:v>
                </c:pt>
                <c:pt idx="2">
                  <c:v>13.384665949877844</c:v>
                </c:pt>
              </c:numCache>
            </c:numRef>
          </c:xVal>
          <c:yVal>
            <c:numRef>
              <c:f>Gabarito!$AR$22:$AR$24</c:f>
              <c:numCache>
                <c:formatCode>0.00</c:formatCode>
                <c:ptCount val="3"/>
                <c:pt idx="0">
                  <c:v>27.290329091502556</c:v>
                </c:pt>
                <c:pt idx="1">
                  <c:v>27.290329091502556</c:v>
                </c:pt>
                <c:pt idx="2">
                  <c:v>27.290329091502556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3248-4451-862B-2D0017DC4DC8}"/>
            </c:ext>
          </c:extLst>
        </c:ser>
        <c:ser>
          <c:idx val="10"/>
          <c:order val="9"/>
          <c:tx>
            <c:v>H4:</c:v>
          </c:tx>
          <c:spPr>
            <a:ln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0.16070694319418724"/>
                  <c:y val="-4.700931706276424E-2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FCCC8511-91A1-468A-B981-5DDBCD126BCB}" type="SERIESNAME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02CF46DB-33AA-4359-A84F-814E80BAC784}" type="CELLREF"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r"/>
              <c:showLegendKey val="0"/>
              <c:showVal val="0"/>
              <c:showCatName val="1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{02CF46DB-33AA-4359-A84F-814E80BAC784}</c15:txfldGUID>
                      <c15:f>Gabarito!$AQ$26:$AR$26</c15:f>
                      <c15:dlblFieldTableCache>
                        <c:ptCount val="2"/>
                        <c:pt idx="0">
                          <c:v>10,67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4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Gabarito!$AQ$29:$AQ$31</c:f>
              <c:numCache>
                <c:formatCode>0.00</c:formatCode>
                <c:ptCount val="3"/>
                <c:pt idx="0">
                  <c:v>0</c:v>
                </c:pt>
                <c:pt idx="1">
                  <c:v>5.3340188678845903</c:v>
                </c:pt>
                <c:pt idx="2">
                  <c:v>10.668037735769181</c:v>
                </c:pt>
              </c:numCache>
            </c:numRef>
          </c:xVal>
          <c:yVal>
            <c:numRef>
              <c:f>Gabarito!$AR$29:$AR$31</c:f>
              <c:numCache>
                <c:formatCode>0.00</c:formatCode>
                <c:ptCount val="3"/>
                <c:pt idx="0">
                  <c:v>39.695024133094627</c:v>
                </c:pt>
                <c:pt idx="1">
                  <c:v>39.695024133094627</c:v>
                </c:pt>
                <c:pt idx="2">
                  <c:v>39.695024133094627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3248-4451-862B-2D0017DC4DC8}"/>
            </c:ext>
          </c:extLst>
        </c:ser>
        <c:ser>
          <c:idx val="11"/>
          <c:order val="10"/>
          <c:tx>
            <c:v>H5: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0.14611229349181926"/>
                  <c:y val="-3.9752360784926298E-2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ABC5F0D5-3505-4A22-A7C8-0607F259B33B}" type="SERIESNAME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A1E2865D-C758-428B-97BE-E36BF148122F}" type="CELLREF"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r"/>
              <c:showLegendKey val="0"/>
              <c:showVal val="0"/>
              <c:showCatName val="1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{A1E2865D-C758-428B-97BE-E36BF148122F}</c15:txfldGUID>
                      <c15:f>Gabarito!$AQ$33:$AR$33</c15:f>
                      <c15:dlblFieldTableCache>
                        <c:ptCount val="2"/>
                        <c:pt idx="0">
                          <c:v>8,37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6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Gabarito!$AQ$36:$AQ$38</c:f>
              <c:numCache>
                <c:formatCode>0.00</c:formatCode>
                <c:ptCount val="3"/>
                <c:pt idx="0">
                  <c:v>0</c:v>
                </c:pt>
                <c:pt idx="1">
                  <c:v>4.1865845765373235</c:v>
                </c:pt>
                <c:pt idx="2">
                  <c:v>8.373169153074647</c:v>
                </c:pt>
              </c:numCache>
            </c:numRef>
          </c:xVal>
          <c:yVal>
            <c:numRef>
              <c:f>Gabarito!$AR$36:$AR$38</c:f>
              <c:numCache>
                <c:formatCode>0.00</c:formatCode>
                <c:ptCount val="3"/>
                <c:pt idx="0">
                  <c:v>49.618780166368282</c:v>
                </c:pt>
                <c:pt idx="1">
                  <c:v>49.618780166368282</c:v>
                </c:pt>
                <c:pt idx="2">
                  <c:v>49.618780166368282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3248-4451-862B-2D0017DC4DC8}"/>
            </c:ext>
          </c:extLst>
        </c:ser>
        <c:ser>
          <c:idx val="12"/>
          <c:order val="11"/>
          <c:tx>
            <c:v>H6: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0.13830580120177688"/>
                  <c:y val="-3.3800933070281258E-2"/>
                </c:manualLayout>
              </c:layout>
              <c:tx>
                <c:rich>
                  <a:bodyPr/>
                  <a:lstStyle/>
                  <a:p>
                    <a:fld id="{BCDD12AE-12CD-4848-A5BD-A9DD2A756955}" type="SERIESNAME">
                      <a:rPr lang="en-US" b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[NOME DA SÉRIE]</a:t>
                    </a:fld>
                    <a:r>
                      <a:rPr lang="en-US" b="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3B01236D-D331-4E8B-9543-C8642D9ADD2B}" type="CELLREF">
                      <a:rPr lang="en-US" b="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en-US" b="0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dLblPos val="r"/>
              <c:showLegendKey val="0"/>
              <c:showVal val="0"/>
              <c:showCatName val="1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{3B01236D-D331-4E8B-9543-C8642D9ADD2B}</c15:txfldGUID>
                      <c15:f>Gabarito!$AQ$40:$AR$40</c15:f>
                      <c15:dlblFieldTableCache>
                        <c:ptCount val="2"/>
                        <c:pt idx="0">
                          <c:v>5,68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8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Gabarito!$AQ$43:$AQ$45</c:f>
              <c:numCache>
                <c:formatCode>0.00</c:formatCode>
                <c:ptCount val="3"/>
                <c:pt idx="0">
                  <c:v>0</c:v>
                </c:pt>
                <c:pt idx="1">
                  <c:v>2.8406751645245842</c:v>
                </c:pt>
                <c:pt idx="2">
                  <c:v>5.6813503290491685</c:v>
                </c:pt>
              </c:numCache>
            </c:numRef>
          </c:xVal>
          <c:yVal>
            <c:numRef>
              <c:f>Gabarito!$AR$43:$AR$45</c:f>
              <c:numCache>
                <c:formatCode>0.00</c:formatCode>
                <c:ptCount val="3"/>
                <c:pt idx="0">
                  <c:v>59.542536199641937</c:v>
                </c:pt>
                <c:pt idx="1">
                  <c:v>59.542536199641937</c:v>
                </c:pt>
                <c:pt idx="2">
                  <c:v>59.542536199641937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3248-4451-862B-2D0017DC4DC8}"/>
            </c:ext>
          </c:extLst>
        </c:ser>
        <c:ser>
          <c:idx val="13"/>
          <c:order val="12"/>
          <c:tx>
            <c:v>H7: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0.11537036238812233"/>
                  <c:y val="-2.9644883669107825E-2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 b="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8B225340-04A4-4C52-92F9-4AB470949F92}" type="SERIESNAME">
                      <a:rPr lang="en-US" b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="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9D6FFE65-0E4C-432E-B292-441B4AB5BFAB}" type="CELLREF">
                      <a:rPr lang="en-US" b="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="0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dLblPos val="r"/>
              <c:showLegendKey val="0"/>
              <c:showVal val="0"/>
              <c:showCatName val="1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{9D6FFE65-0E4C-432E-B292-441B4AB5BFAB}</c15:txfldGUID>
                      <c15:f>Gabarito!$AQ$47:$AR$47</c15:f>
                      <c15:dlblFieldTableCache>
                        <c:ptCount val="2"/>
                        <c:pt idx="0">
                          <c:v>3,65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B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Gabarito!$AQ$50:$AQ$52</c:f>
              <c:numCache>
                <c:formatCode>0.00</c:formatCode>
                <c:ptCount val="3"/>
                <c:pt idx="0">
                  <c:v>0</c:v>
                </c:pt>
                <c:pt idx="1">
                  <c:v>1.8234901711140343</c:v>
                </c:pt>
                <c:pt idx="2">
                  <c:v>3.6469803422280687</c:v>
                </c:pt>
              </c:numCache>
            </c:numRef>
          </c:xVal>
          <c:yVal>
            <c:numRef>
              <c:f>Gabarito!$AR$50:$AR$52</c:f>
              <c:numCache>
                <c:formatCode>0.00</c:formatCode>
                <c:ptCount val="3"/>
                <c:pt idx="0">
                  <c:v>66.985353224597176</c:v>
                </c:pt>
                <c:pt idx="1">
                  <c:v>66.985353224597176</c:v>
                </c:pt>
                <c:pt idx="2">
                  <c:v>66.985353224597176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3248-4451-862B-2D0017DC4DC8}"/>
            </c:ext>
          </c:extLst>
        </c:ser>
        <c:ser>
          <c:idx val="14"/>
          <c:order val="13"/>
          <c:tx>
            <c:v>H8:</c:v>
          </c:tx>
          <c:spPr>
            <a:ln cap="sq"/>
          </c:spPr>
          <c:marker>
            <c:symbol val="none"/>
          </c:marker>
          <c:dLbls>
            <c:delete val="1"/>
          </c:dLbls>
          <c:xVal>
            <c:numRef>
              <c:f>Gabarito!$AQ$57:$AQ$59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Gabarito!$AR$57:$AR$59</c:f>
              <c:numCache>
                <c:formatCode>0.00</c:formatCode>
                <c:ptCount val="3"/>
                <c:pt idx="0">
                  <c:v>80.407233259599792</c:v>
                </c:pt>
                <c:pt idx="1">
                  <c:v>80.407233259599792</c:v>
                </c:pt>
                <c:pt idx="2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3248-4451-862B-2D0017DC4DC8}"/>
            </c:ext>
          </c:extLst>
        </c:ser>
        <c:ser>
          <c:idx val="15"/>
          <c:order val="14"/>
          <c:tx>
            <c:v>V0:</c:v>
          </c:tx>
          <c:spPr>
            <a:ln cap="sq"/>
          </c:spPr>
          <c:marker>
            <c:symbol val="none"/>
          </c:marker>
          <c:dLbls>
            <c:delete val="1"/>
          </c:dLbls>
          <c:xVal>
            <c:numRef>
              <c:f>Gabarito!$AU$8:$AU$10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Gabarito!$AV$8:$AV$10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2-3248-4451-862B-2D0017DC4DC8}"/>
            </c:ext>
          </c:extLst>
        </c:ser>
        <c:ser>
          <c:idx val="16"/>
          <c:order val="15"/>
          <c:tx>
            <c:v>V1: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Pt>
            <c:idx val="0"/>
            <c:bubble3D val="0"/>
            <c:spPr>
              <a:ln w="19050" cap="flat">
                <a:solidFill>
                  <a:schemeClr val="tx1"/>
                </a:solidFill>
                <a:headEnd type="triangle"/>
                <a:tailEnd type="stealth"/>
              </a:ln>
            </c:spPr>
            <c:extLst>
              <c:ext xmlns:c16="http://schemas.microsoft.com/office/drawing/2014/chart" uri="{C3380CC4-5D6E-409C-BE32-E72D297353CC}">
                <c16:uniqueId val="{0000003A-3248-4451-862B-2D0017DC4DC8}"/>
              </c:ext>
            </c:extLst>
          </c:dPt>
          <c:dLbls>
            <c:dLbl>
              <c:idx val="1"/>
              <c:layout>
                <c:manualLayout>
                  <c:x val="-0.17564440930278252"/>
                  <c:y val="-1.2288117569028817E-16"/>
                </c:manualLayout>
              </c:layout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b="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47AD9BD8-C04F-481B-B6E4-9D1501CF3F67}" type="SERIESNAME">
                      <a:rPr lang="en-US" b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="0" baseline="0"/>
                      <a:t> </a:t>
                    </a:r>
                    <a:fld id="{645BCE7A-2D47-4266-A3CC-250A111729E9}" type="CELLREF">
                      <a:rPr lang="en-US" b="0" baseline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="0" baseline="0"/>
                  </a:p>
                </c:rich>
              </c:tx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"/>
                      <c:h val="2.4358465608465607E-2"/>
                    </c:manualLayout>
                  </c15:layout>
                  <c15:dlblFieldTable>
                    <c15:dlblFTEntry>
                      <c15:txfldGUID>{645BCE7A-2D47-4266-A3CC-250A111729E9}</c15:txfldGUID>
                      <c15:f>Gabarito!$AU$12:$AV$12</c15:f>
                      <c15:dlblFieldTableCache>
                        <c:ptCount val="2"/>
                        <c:pt idx="0">
                          <c:v>9,92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B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sq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round/>
                      <a:headEnd type="none" w="lg" len="lg"/>
                      <a:tailEnd type="none" w="lg" len="lg"/>
                    </a:ln>
                    <a:effectLst/>
                  </c:spPr>
                </c15:leaderLines>
              </c:ext>
            </c:extLst>
          </c:dLbls>
          <c:xVal>
            <c:numRef>
              <c:f>Gabarito!$AU$15:$AU$17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Gabarito!$AV$15:$AV$17</c:f>
              <c:numCache>
                <c:formatCode>0.00</c:formatCode>
                <c:ptCount val="3"/>
                <c:pt idx="0">
                  <c:v>0</c:v>
                </c:pt>
                <c:pt idx="1">
                  <c:v>4.9618780166368284</c:v>
                </c:pt>
                <c:pt idx="2">
                  <c:v>9.9237560332736567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3-3248-4451-862B-2D0017DC4DC8}"/>
            </c:ext>
          </c:extLst>
        </c:ser>
        <c:ser>
          <c:idx val="17"/>
          <c:order val="16"/>
          <c:tx>
            <c:v>V2: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0.17619116908172244"/>
                  <c:y val="0"/>
                </c:manualLayout>
              </c:layout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b="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DD58B4E0-EFF3-414F-9D01-FA1F334F84BF}" type="SERIESNAME">
                      <a:rPr lang="en-US" b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="0" baseline="0"/>
                      <a:t> </a:t>
                    </a:r>
                    <a:fld id="{B150FAF0-627B-4D4C-8F27-1611FD476DD5}" type="CELLREF">
                      <a:rPr lang="en-US" b="0" baseline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="0" baseline="0"/>
                  </a:p>
                </c:rich>
              </c:tx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"/>
                      <c:h val="2.4358465608465607E-2"/>
                    </c:manualLayout>
                  </c15:layout>
                  <c15:dlblFieldTable>
                    <c15:dlblFTEntry>
                      <c15:txfldGUID>{B150FAF0-627B-4D4C-8F27-1611FD476DD5}</c15:txfldGUID>
                      <c15:f>Gabarito!$AU$19:$AV$19</c15:f>
                      <c15:dlblFieldTableCache>
                        <c:ptCount val="2"/>
                        <c:pt idx="0">
                          <c:v>17,37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C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Gabarito!$AU$22:$AU$24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Gabarito!$AV$22:$AV$24</c:f>
              <c:numCache>
                <c:formatCode>0.00</c:formatCode>
                <c:ptCount val="3"/>
                <c:pt idx="0">
                  <c:v>9.9237560332736567</c:v>
                </c:pt>
                <c:pt idx="1">
                  <c:v>18.607042562388106</c:v>
                </c:pt>
                <c:pt idx="2">
                  <c:v>27.290329091502556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4-3248-4451-862B-2D0017DC4DC8}"/>
            </c:ext>
          </c:extLst>
        </c:ser>
        <c:ser>
          <c:idx val="18"/>
          <c:order val="17"/>
          <c:tx>
            <c:v>V3: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0.1770830467353123"/>
                  <c:y val="-1.2288117569028817E-16"/>
                </c:manualLayout>
              </c:layout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b="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B56913CA-C9DC-4591-B10C-FB287576326F}" type="SERIESNAME">
                      <a:rPr lang="en-US" b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="0" baseline="0"/>
                      <a:t> </a:t>
                    </a:r>
                    <a:fld id="{7386908C-380D-44B8-9DC9-DB182F49A3B4}" type="CELLREF">
                      <a:rPr lang="en-US" b="0" baseline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="0" baseline="0"/>
                  </a:p>
                </c:rich>
              </c:tx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"/>
                      <c:h val="2.4358465608465607E-2"/>
                    </c:manualLayout>
                  </c15:layout>
                  <c15:dlblFieldTable>
                    <c15:dlblFTEntry>
                      <c15:txfldGUID>{7386908C-380D-44B8-9DC9-DB182F49A3B4}</c15:txfldGUID>
                      <c15:f>Gabarito!$AU$26:$AV$26</c15:f>
                      <c15:dlblFieldTableCache>
                        <c:ptCount val="2"/>
                        <c:pt idx="0">
                          <c:v>12,40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D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Gabarito!$AU$29:$AU$31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Gabarito!$AV$29:$AV$31</c:f>
              <c:numCache>
                <c:formatCode>0.00</c:formatCode>
                <c:ptCount val="3"/>
                <c:pt idx="0">
                  <c:v>27.290329091502556</c:v>
                </c:pt>
                <c:pt idx="1">
                  <c:v>33.492676612298595</c:v>
                </c:pt>
                <c:pt idx="2">
                  <c:v>39.695024133094634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5-3248-4451-862B-2D0017DC4DC8}"/>
            </c:ext>
          </c:extLst>
        </c:ser>
        <c:ser>
          <c:idx val="19"/>
          <c:order val="18"/>
          <c:tx>
            <c:v>V4: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0.17651117404521546"/>
                  <c:y val="0"/>
                </c:manualLayout>
              </c:layout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b="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95BA54EF-8006-488B-B5EF-65C3B25B6561}" type="SERIESNAME">
                      <a:rPr lang="en-US" b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="0" baseline="0"/>
                      <a:t> </a:t>
                    </a:r>
                    <a:fld id="{9267556C-A0E4-4117-AB4A-FA6830DD23A5}" type="CELLREF">
                      <a:rPr lang="en-US" b="0" baseline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="0" baseline="0"/>
                  </a:p>
                </c:rich>
              </c:tx>
              <c:spPr>
                <a:solidFill>
                  <a:schemeClr val="bg1"/>
                </a:solidFill>
                <a:ln>
                  <a:noFill/>
                </a:ln>
                <a:effectLst/>
              </c:spPr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"/>
                      <c:h val="2.4358465608465607E-2"/>
                    </c:manualLayout>
                  </c15:layout>
                  <c15:dlblFieldTable>
                    <c15:dlblFTEntry>
                      <c15:txfldGUID>{9267556C-A0E4-4117-AB4A-FA6830DD23A5}</c15:txfldGUID>
                      <c15:f>Gabarito!$AU$33:$AV$33</c15:f>
                      <c15:dlblFieldTableCache>
                        <c:ptCount val="2"/>
                        <c:pt idx="0">
                          <c:v>9,92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E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Gabarito!$AU$36:$AU$38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Gabarito!$AV$36:$AV$38</c:f>
              <c:numCache>
                <c:formatCode>0.00</c:formatCode>
                <c:ptCount val="3"/>
                <c:pt idx="0">
                  <c:v>39.695024133094634</c:v>
                </c:pt>
                <c:pt idx="1">
                  <c:v>44.656902149731465</c:v>
                </c:pt>
                <c:pt idx="2">
                  <c:v>49.618780166368296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6-3248-4451-862B-2D0017DC4DC8}"/>
            </c:ext>
          </c:extLst>
        </c:ser>
        <c:ser>
          <c:idx val="20"/>
          <c:order val="19"/>
          <c:tx>
            <c:v>V5: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0.17588907553280458"/>
                  <c:y val="0"/>
                </c:manualLayout>
              </c:layout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b="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C0953A9-3963-4BD0-9836-32A5CBD6E6F5}" type="SERIESNAME">
                      <a:rPr lang="en-US" b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="0" baseline="0"/>
                      <a:t> </a:t>
                    </a:r>
                    <a:fld id="{6A847004-39FB-452F-B025-4142B6993591}" type="CELLREF">
                      <a:rPr lang="en-US" b="0" baseline="0"/>
                      <a:pPr algn="l">
                        <a:defRPr b="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="0" baseline="0"/>
                  </a:p>
                </c:rich>
              </c:tx>
              <c:spPr>
                <a:solidFill>
                  <a:schemeClr val="bg1"/>
                </a:solidFill>
                <a:ln>
                  <a:noFill/>
                </a:ln>
                <a:effectLst/>
              </c:spPr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"/>
                      <c:h val="2.4358465608465607E-2"/>
                    </c:manualLayout>
                  </c15:layout>
                  <c15:dlblFieldTable>
                    <c15:dlblFTEntry>
                      <c15:txfldGUID>{6A847004-39FB-452F-B025-4142B6993591}</c15:txfldGUID>
                      <c15:f>Gabarito!$AU$40:$AV$40</c15:f>
                      <c15:dlblFieldTableCache>
                        <c:ptCount val="2"/>
                        <c:pt idx="0">
                          <c:v>9,92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2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Gabarito!$AU$43:$AU$45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Gabarito!$AV$43:$AV$45</c:f>
              <c:numCache>
                <c:formatCode>0.00</c:formatCode>
                <c:ptCount val="3"/>
                <c:pt idx="0">
                  <c:v>49.618780166368296</c:v>
                </c:pt>
                <c:pt idx="1">
                  <c:v>54.580658183005127</c:v>
                </c:pt>
                <c:pt idx="2">
                  <c:v>59.542536199641958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7-3248-4451-862B-2D0017DC4DC8}"/>
            </c:ext>
          </c:extLst>
        </c:ser>
        <c:ser>
          <c:idx val="21"/>
          <c:order val="20"/>
          <c:tx>
            <c:v>V6:</c:v>
          </c:tx>
          <c:spPr>
            <a:ln w="19050" cap="sq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0.17636271242337562"/>
                  <c:y val="0"/>
                </c:manualLayout>
              </c:layout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E59DC727-6295-4990-8C86-AAE704E03939}" type="SERIESNAME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 algn="l"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</a:t>
                    </a:r>
                    <a:fld id="{CD1A473B-1726-4F39-9C82-1113A94F2794}" type="CELLREF">
                      <a:rPr lang="en-US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 algn="l"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spPr>
                <a:solidFill>
                  <a:schemeClr val="bg1"/>
                </a:solidFill>
                <a:ln>
                  <a:noFill/>
                </a:ln>
                <a:effectLst/>
              </c:spPr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"/>
                      <c:h val="2.4358465608465607E-2"/>
                    </c:manualLayout>
                  </c15:layout>
                  <c15:dlblFieldTable>
                    <c15:dlblFTEntry>
                      <c15:txfldGUID>{CD1A473B-1726-4F39-9C82-1113A94F2794}</c15:txfldGUID>
                      <c15:f>Gabarito!$AU$47:$AV$47</c15:f>
                      <c15:dlblFieldTableCache>
                        <c:ptCount val="2"/>
                        <c:pt idx="0">
                          <c:v>7,44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7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Gabarito!$AU$50:$AU$52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Gabarito!$AV$50:$AV$52</c:f>
              <c:numCache>
                <c:formatCode>0.00</c:formatCode>
                <c:ptCount val="3"/>
                <c:pt idx="0">
                  <c:v>59.542536199641958</c:v>
                </c:pt>
                <c:pt idx="1">
                  <c:v>63.263944712119581</c:v>
                </c:pt>
                <c:pt idx="2">
                  <c:v>66.985353224597205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8-3248-4451-862B-2D0017DC4DC8}"/>
            </c:ext>
          </c:extLst>
        </c:ser>
        <c:ser>
          <c:idx val="22"/>
          <c:order val="21"/>
          <c:tx>
            <c:v>V7:</c:v>
          </c:tx>
          <c:spPr>
            <a:ln w="19050" cap="flat">
              <a:solidFill>
                <a:schemeClr val="tx1"/>
              </a:solidFill>
              <a:headEnd type="triangle"/>
              <a:tailEnd type="triangle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0.17533640683359245"/>
                  <c:y val="0"/>
                </c:manualLayout>
              </c:layout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9435A7C-0AF5-4EAF-BEE6-321491F9E554}" type="SERIESNAME">
                      <a:rPr lang="en-US"/>
                      <a:pPr algn="l"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[NOME DA SÉRIE]</a:t>
                    </a:fld>
                    <a:r>
                      <a:rPr lang="en-US" baseline="0"/>
                      <a:t> </a:t>
                    </a:r>
                    <a:fld id="{18480C79-A581-440C-BF8B-965734A0A69E}" type="CELLREF">
                      <a:rPr lang="en-US" baseline="0"/>
                      <a:pPr algn="l">
                        <a:defRPr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[CELLREF]</a:t>
                    </a:fld>
                    <a:endParaRPr lang="en-US" baseline="0"/>
                  </a:p>
                </c:rich>
              </c:tx>
              <c:spPr>
                <a:solidFill>
                  <a:schemeClr val="bg1"/>
                </a:solidFill>
                <a:ln>
                  <a:noFill/>
                </a:ln>
                <a:effectLst/>
              </c:spPr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"/>
                      <c:h val="2.4153724454468818E-2"/>
                    </c:manualLayout>
                  </c15:layout>
                  <c15:dlblFieldTable>
                    <c15:dlblFTEntry>
                      <c15:txfldGUID>{18480C79-A581-440C-BF8B-965734A0A69E}</c15:txfldGUID>
                      <c15:f>Gabarito!$AU$54:$AV$54</c15:f>
                      <c15:dlblFieldTableCache>
                        <c:ptCount val="2"/>
                        <c:pt idx="0">
                          <c:v>13,42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B-3248-4451-862B-2D0017DC4DC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2700" cap="flat" cmpd="sng" algn="ctr">
                      <a:solidFill>
                        <a:schemeClr val="bg1">
                          <a:lumMod val="50000"/>
                        </a:schemeClr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xVal>
            <c:numRef>
              <c:f>Gabarito!$AU$57:$AU$59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Gabarito!$AV$57:$AV$59</c:f>
              <c:numCache>
                <c:formatCode>0.00</c:formatCode>
                <c:ptCount val="3"/>
                <c:pt idx="0">
                  <c:v>66.985353224597205</c:v>
                </c:pt>
                <c:pt idx="1">
                  <c:v>73.69629324209852</c:v>
                </c:pt>
                <c:pt idx="2">
                  <c:v>80.407233259599835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9-3248-4451-862B-2D0017DC4DC8}"/>
            </c:ext>
          </c:extLst>
        </c:ser>
        <c:ser>
          <c:idx val="27"/>
          <c:order val="22"/>
          <c:tx>
            <c:v> Margem</c:v>
          </c:tx>
          <c:spPr>
            <a:ln w="12700">
              <a:solidFill>
                <a:schemeClr val="bg1">
                  <a:lumMod val="50000"/>
                </a:schemeClr>
              </a:solidFill>
              <a:headEnd type="triangle" w="med" len="sm"/>
              <a:tailEnd type="triangle" w="med" len="sm"/>
            </a:ln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1A3-4C37-B53C-90407E2C5AB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B49CE76-A9D4-4BBB-BBCC-7145EDD4CC80}" type="CELLREF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pt-BR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{FB49CE76-A9D4-4BBB-BBCC-7145EDD4CC80}</c15:txfldGUID>
                      <c15:f>Gabarito!$AP$79</c15:f>
                      <c15:dlblFieldTableCache>
                        <c:ptCount val="1"/>
                        <c:pt idx="0">
                          <c:v>Margem: 2 ✂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8-71A3-4C37-B53C-90407E2C5AB2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Gabarito!$AQ$77:$AQ$78</c:f>
              <c:numCache>
                <c:formatCode>0.00</c:formatCode>
                <c:ptCount val="2"/>
                <c:pt idx="0">
                  <c:v>16.237745809444021</c:v>
                </c:pt>
                <c:pt idx="1">
                  <c:v>18.237745809444021</c:v>
                </c:pt>
              </c:numCache>
            </c:numRef>
          </c:xVal>
          <c:yVal>
            <c:numRef>
              <c:f>Gabarito!$AR$77:$AR$78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71A3-4C37-B53C-90407E2C5AB2}"/>
            </c:ext>
          </c:extLst>
        </c:ser>
        <c:ser>
          <c:idx val="25"/>
          <c:order val="23"/>
          <c:tx>
            <c:v>Cota da altura</c:v>
          </c:tx>
          <c:spPr>
            <a:ln w="15875">
              <a:solidFill>
                <a:schemeClr val="tx1">
                  <a:lumMod val="95000"/>
                  <a:lumOff val="5000"/>
                </a:schemeClr>
              </a:solidFill>
              <a:headEnd type="triangle" w="med" len="lg"/>
              <a:tailEnd type="triangle" w="med" len="lg"/>
            </a:ln>
          </c:spPr>
          <c:marker>
            <c:symbol val="none"/>
          </c:marker>
          <c:dLbls>
            <c:dLbl>
              <c:idx val="1"/>
              <c:tx>
                <c:rich>
                  <a:bodyPr rot="-5400000" vert="horz" wrap="square" lIns="38100" tIns="19050" rIns="38100" bIns="19050" anchor="ctr">
                    <a:spAutoFit/>
                  </a:bodyPr>
                  <a:lstStyle/>
                  <a:p>
                    <a:pPr>
                      <a:defRPr/>
                    </a:pPr>
                    <a:fld id="{78FCB865-3715-404B-BB60-DD06B3FA4170}" type="CELLREF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/>
                      </a:pPr>
                      <a:t>[CELLREF]</a:t>
                    </a:fld>
                    <a:endParaRPr lang="pt-BR"/>
                  </a:p>
                </c:rich>
              </c:tx>
              <c:numFmt formatCode="#,##0.00" sourceLinked="0"/>
              <c:spPr>
                <a:noFill/>
                <a:ln>
                  <a:noFill/>
                </a:ln>
                <a:effectLst/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{78FCB865-3715-404B-BB60-DD06B3FA4170}</c15:txfldGUID>
                      <c15:f>Gabarito!$AU$71</c15:f>
                      <c15:dlblFieldTableCache>
                        <c:ptCount val="1"/>
                        <c:pt idx="0">
                          <c:v>82,41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6-4514-4C58-9441-8454E5CE1A2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Gabarito!$AU$67:$AU$69</c:f>
              <c:numCache>
                <c:formatCode>0.00</c:formatCode>
                <c:ptCount val="3"/>
                <c:pt idx="0">
                  <c:v>-18.237745809444021</c:v>
                </c:pt>
                <c:pt idx="1">
                  <c:v>-18.237745809444021</c:v>
                </c:pt>
                <c:pt idx="2">
                  <c:v>-18.237745809444021</c:v>
                </c:pt>
              </c:numCache>
            </c:numRef>
          </c:xVal>
          <c:yVal>
            <c:numRef>
              <c:f>Gabarito!$AV$67:$AV$69</c:f>
              <c:numCache>
                <c:formatCode>0.00</c:formatCode>
                <c:ptCount val="3"/>
                <c:pt idx="0">
                  <c:v>-2</c:v>
                </c:pt>
                <c:pt idx="1">
                  <c:v>40.203616629799896</c:v>
                </c:pt>
                <c:pt idx="2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858-4A1E-982B-CBD7299D01F9}"/>
            </c:ext>
          </c:extLst>
        </c:ser>
        <c:ser>
          <c:idx val="26"/>
          <c:order val="24"/>
          <c:tx>
            <c:v>Cota da base</c:v>
          </c:tx>
          <c:spPr>
            <a:ln w="15875">
              <a:solidFill>
                <a:schemeClr val="tx1">
                  <a:lumMod val="95000"/>
                  <a:lumOff val="5000"/>
                </a:schemeClr>
              </a:solidFill>
              <a:headEnd type="triangle" w="med" len="lg"/>
              <a:tailEnd type="triangle" w="med" len="lg"/>
            </a:ln>
          </c:spPr>
          <c:marker>
            <c:symbol val="none"/>
          </c:marker>
          <c:dLbls>
            <c:dLbl>
              <c:idx val="1"/>
              <c:tx>
                <c:rich>
                  <a:bodyPr/>
                  <a:lstStyle/>
                  <a:p>
                    <a:fld id="{F3C05F08-4D5F-4F2F-AB28-56C4ADA74696}" type="CELLREF">
                      <a:rPr lang="en-US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pt-BR"/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{F3C05F08-4D5F-4F2F-AB28-56C4ADA74696}</c15:txfldGUID>
                      <c15:f>Gabarito!$AQ$71</c15:f>
                      <c15:dlblFieldTableCache>
                        <c:ptCount val="1"/>
                        <c:pt idx="0">
                          <c:v>36,48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7-4514-4C58-9441-8454E5CE1A2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Gabarito!$AQ$67:$AQ$69</c:f>
              <c:numCache>
                <c:formatCode>0.00</c:formatCode>
                <c:ptCount val="3"/>
                <c:pt idx="0">
                  <c:v>-18.237745809444021</c:v>
                </c:pt>
                <c:pt idx="1">
                  <c:v>0</c:v>
                </c:pt>
                <c:pt idx="2">
                  <c:v>18.237745809444021</c:v>
                </c:pt>
              </c:numCache>
            </c:numRef>
          </c:xVal>
          <c:yVal>
            <c:numRef>
              <c:f>Gabarito!$AR$67:$AR$69</c:f>
              <c:numCache>
                <c:formatCode>0.00</c:formatCode>
                <c:ptCount val="3"/>
                <c:pt idx="0">
                  <c:v>-2</c:v>
                </c:pt>
                <c:pt idx="1">
                  <c:v>-2</c:v>
                </c:pt>
                <c:pt idx="2">
                  <c:v>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8858-4A1E-982B-CBD7299D01F9}"/>
            </c:ext>
          </c:extLst>
        </c:ser>
        <c:ser>
          <c:idx val="23"/>
          <c:order val="25"/>
          <c:tx>
            <c:v>xG - Não excluir</c:v>
          </c:tx>
          <c:marker>
            <c:symbol val="none"/>
          </c:marker>
          <c:dLbls>
            <c:delete val="1"/>
          </c:dLbls>
          <c:xVal>
            <c:numRef>
              <c:f>Gabarito!$AQ$61</c:f>
              <c:numCache>
                <c:formatCode>0.00</c:formatCode>
                <c:ptCount val="1"/>
                <c:pt idx="0">
                  <c:v>32.475491618888043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F0DE-4F6B-92F7-07C4E14693A7}"/>
            </c:ext>
          </c:extLst>
        </c:ser>
        <c:ser>
          <c:idx val="24"/>
          <c:order val="26"/>
          <c:tx>
            <c:v>yG - Não excluir</c:v>
          </c:tx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6-1FB6-423C-A63C-AB93BD17F055}"/>
              </c:ext>
            </c:extLst>
          </c:dPt>
          <c:dLbls>
            <c:delete val="1"/>
          </c:dLbls>
          <c:xVal>
            <c:numLit>
              <c:formatCode>General</c:formatCode>
              <c:ptCount val="1"/>
              <c:pt idx="0">
                <c:v>0</c:v>
              </c:pt>
            </c:numLit>
          </c:xVal>
          <c:yVal>
            <c:numRef>
              <c:f>Gabarito!$AU$61</c:f>
              <c:numCache>
                <c:formatCode>0.00</c:formatCode>
                <c:ptCount val="1"/>
                <c:pt idx="0">
                  <c:v>80.407233259599792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0DE-4F6B-92F7-07C4E14693A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153030016"/>
        <c:axId val="153052672"/>
      </c:scatterChart>
      <c:valAx>
        <c:axId val="153030016"/>
        <c:scaling>
          <c:orientation val="minMax"/>
        </c:scaling>
        <c:delete val="0"/>
        <c:axPos val="b"/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bg1"/>
            </a:solidFill>
          </a:ln>
        </c:spPr>
        <c:txPr>
          <a:bodyPr/>
          <a:lstStyle/>
          <a:p>
            <a:pPr>
              <a:defRPr>
                <a:solidFill>
                  <a:schemeClr val="tx1">
                    <a:alpha val="0"/>
                  </a:schemeClr>
                </a:solidFill>
              </a:defRPr>
            </a:pPr>
            <a:endParaRPr lang="pt-BR"/>
          </a:p>
        </c:txPr>
        <c:crossAx val="153052672"/>
        <c:crosses val="autoZero"/>
        <c:crossBetween val="midCat"/>
        <c:majorUnit val="1"/>
      </c:valAx>
      <c:valAx>
        <c:axId val="153052672"/>
        <c:scaling>
          <c:orientation val="minMax"/>
        </c:scaling>
        <c:delete val="0"/>
        <c:axPos val="l"/>
        <c:numFmt formatCode="0" sourceLinked="0"/>
        <c:majorTickMark val="out"/>
        <c:minorTickMark val="none"/>
        <c:tickLblPos val="nextTo"/>
        <c:spPr>
          <a:noFill/>
          <a:ln w="22225" cap="flat" cmpd="sng" algn="ctr">
            <a:solidFill>
              <a:schemeClr val="bg1">
                <a:lumMod val="65000"/>
                <a:alpha val="0"/>
              </a:schemeClr>
            </a:solidFill>
            <a:prstDash val="solid"/>
            <a:miter lim="800000"/>
          </a:ln>
          <a:effectLst/>
        </c:spPr>
        <c:txPr>
          <a:bodyPr rot="0" vert="horz" anchor="ctr" anchorCtr="0"/>
          <a:lstStyle/>
          <a:p>
            <a:pPr>
              <a:defRPr>
                <a:solidFill>
                  <a:schemeClr val="tx1">
                    <a:alpha val="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030016"/>
        <c:crosses val="autoZero"/>
        <c:crossBetween val="midCat"/>
        <c:majorUnit val="2"/>
      </c:valAx>
      <c:spPr>
        <a:noFill/>
        <a:ln w="3175">
          <a:noFill/>
        </a:ln>
      </c:spPr>
    </c:plotArea>
    <c:legend>
      <c:legendPos val="t"/>
      <c:legendEntry>
        <c:idx val="0"/>
        <c:delete val="1"/>
      </c:legendEntry>
      <c:legendEntry>
        <c:idx val="2"/>
        <c:delete val="1"/>
      </c:legendEntry>
      <c:legendEntry>
        <c:idx val="3"/>
        <c:txPr>
          <a:bodyPr/>
          <a:lstStyle/>
          <a:p>
            <a:pPr>
              <a:defRPr sz="1000" b="0" i="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pt-BR"/>
          </a:p>
        </c:txPr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egendEntry>
        <c:idx val="20"/>
        <c:delete val="1"/>
      </c:legendEntry>
      <c:legendEntry>
        <c:idx val="21"/>
        <c:delete val="1"/>
      </c:legendEntry>
      <c:legendEntry>
        <c:idx val="23"/>
        <c:delete val="1"/>
      </c:legendEntry>
      <c:legendEntry>
        <c:idx val="24"/>
        <c:delete val="1"/>
      </c:legendEntry>
      <c:legendEntry>
        <c:idx val="25"/>
        <c:delete val="1"/>
      </c:legendEntry>
      <c:legendEntry>
        <c:idx val="26"/>
        <c:delete val="1"/>
      </c:legendEntry>
      <c:layout>
        <c:manualLayout>
          <c:xMode val="edge"/>
          <c:yMode val="edge"/>
          <c:x val="0"/>
          <c:y val="4.6709523809523819E-2"/>
          <c:w val="0.75449277777777768"/>
          <c:h val="4.3783465608465612E-2"/>
        </c:manualLayout>
      </c:layout>
      <c:overlay val="0"/>
      <c:spPr>
        <a:ln w="3175">
          <a:noFill/>
        </a:ln>
      </c:spPr>
      <c:txPr>
        <a:bodyPr/>
        <a:lstStyle/>
        <a:p>
          <a:pPr>
            <a:defRPr sz="1000" b="0" i="0">
              <a:latin typeface="Arial" panose="020B0604020202020204" pitchFamily="34" charset="0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>
                <a:solidFill>
                  <a:schemeClr val="tx1"/>
                </a:solidFill>
              </a:rPr>
              <a:t>Vista projetada do velame com </a:t>
            </a:r>
            <a:r>
              <a:rPr lang="pt-BR" sz="1200" b="1" i="1">
                <a:solidFill>
                  <a:schemeClr val="tx1"/>
                </a:solidFill>
              </a:rPr>
              <a:t>vent hole </a:t>
            </a:r>
            <a:r>
              <a:rPr lang="pt-BR" sz="1200" b="1">
                <a:solidFill>
                  <a:schemeClr val="tx1"/>
                </a:solidFill>
              </a:rPr>
              <a:t>[m]</a:t>
            </a:r>
          </a:p>
        </c:rich>
      </c:tx>
      <c:layout>
        <c:manualLayout>
          <c:xMode val="edge"/>
          <c:yMode val="edge"/>
          <c:x val="0.27172419512646073"/>
          <c:y val="1.47050820531999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7941281689129768"/>
          <c:y val="7.7949285607043922E-2"/>
          <c:w val="0.68468347023531828"/>
          <c:h val="0.89018970327768943"/>
        </c:manualLayout>
      </c:layout>
      <c:scatterChart>
        <c:scatterStyle val="smoothMarker"/>
        <c:varyColors val="0"/>
        <c:ser>
          <c:idx val="0"/>
          <c:order val="0"/>
          <c:tx>
            <c:v>Velame</c:v>
          </c:tx>
          <c:spPr>
            <a:ln w="15875" cap="rnd">
              <a:solidFill>
                <a:srgbClr val="230086"/>
              </a:solidFill>
              <a:round/>
            </a:ln>
            <a:effectLst/>
          </c:spPr>
          <c:marker>
            <c:symbol val="none"/>
          </c:marker>
          <c:xVal>
            <c:numRef>
              <c:f>'Vent Hole'!$AP$5:$AP$76</c:f>
              <c:numCache>
                <c:formatCode>General</c:formatCode>
                <c:ptCount val="72"/>
                <c:pt idx="0">
                  <c:v>0.62023620245825406</c:v>
                </c:pt>
                <c:pt idx="1">
                  <c:v>0.61787601645347112</c:v>
                </c:pt>
                <c:pt idx="2">
                  <c:v>0.61081342087973811</c:v>
                </c:pt>
                <c:pt idx="3">
                  <c:v>0.59910216635388291</c:v>
                </c:pt>
                <c:pt idx="4">
                  <c:v>0.58283138259429601</c:v>
                </c:pt>
                <c:pt idx="5">
                  <c:v>0.56212490008995586</c:v>
                </c:pt>
                <c:pt idx="6">
                  <c:v>0.53714030767563636</c:v>
                </c:pt>
                <c:pt idx="7">
                  <c:v>0.50806775318571984</c:v>
                </c:pt>
                <c:pt idx="8">
                  <c:v>0.47512849631436294</c:v>
                </c:pt>
                <c:pt idx="9">
                  <c:v>0.43857322469562388</c:v>
                </c:pt>
                <c:pt idx="10">
                  <c:v>0.3986801460191976</c:v>
                </c:pt>
                <c:pt idx="11">
                  <c:v>0.35575287070191136</c:v>
                </c:pt>
                <c:pt idx="12">
                  <c:v>0.31011810122912709</c:v>
                </c:pt>
                <c:pt idx="13">
                  <c:v>0.21213327486054059</c:v>
                </c:pt>
                <c:pt idx="14">
                  <c:v>0.16052894165825904</c:v>
                </c:pt>
                <c:pt idx="15">
                  <c:v>0.10770288627993313</c:v>
                </c:pt>
                <c:pt idx="16">
                  <c:v>5.4057146904235999E-2</c:v>
                </c:pt>
                <c:pt idx="17">
                  <c:v>3.7994071256006001E-17</c:v>
                </c:pt>
                <c:pt idx="18">
                  <c:v>-5.4057146904236061E-2</c:v>
                </c:pt>
                <c:pt idx="19">
                  <c:v>-0.10770288627993306</c:v>
                </c:pt>
                <c:pt idx="20">
                  <c:v>-0.16052894165825912</c:v>
                </c:pt>
                <c:pt idx="21">
                  <c:v>-0.21213327486054054</c:v>
                </c:pt>
                <c:pt idx="22">
                  <c:v>-0.26212314575155982</c:v>
                </c:pt>
                <c:pt idx="23">
                  <c:v>-0.31011810122912692</c:v>
                </c:pt>
                <c:pt idx="24">
                  <c:v>-0.35575287070191136</c:v>
                </c:pt>
                <c:pt idx="25">
                  <c:v>-0.3986801460191976</c:v>
                </c:pt>
                <c:pt idx="26">
                  <c:v>-0.43857322469562382</c:v>
                </c:pt>
                <c:pt idx="27">
                  <c:v>-0.47512849631436288</c:v>
                </c:pt>
                <c:pt idx="28">
                  <c:v>-0.50806775318571984</c:v>
                </c:pt>
                <c:pt idx="29">
                  <c:v>-0.53714030767563636</c:v>
                </c:pt>
                <c:pt idx="30">
                  <c:v>-0.56212490008995586</c:v>
                </c:pt>
                <c:pt idx="31">
                  <c:v>-0.58283138259429601</c:v>
                </c:pt>
                <c:pt idx="32">
                  <c:v>-0.5991021663538828</c:v>
                </c:pt>
                <c:pt idx="33">
                  <c:v>-0.61081342087973811</c:v>
                </c:pt>
                <c:pt idx="34">
                  <c:v>-0.61787601645347112</c:v>
                </c:pt>
                <c:pt idx="35">
                  <c:v>-0.62023620245825406</c:v>
                </c:pt>
                <c:pt idx="36">
                  <c:v>-0.61787601645347112</c:v>
                </c:pt>
                <c:pt idx="37">
                  <c:v>-0.61081342087973811</c:v>
                </c:pt>
                <c:pt idx="38">
                  <c:v>-0.59910216635388291</c:v>
                </c:pt>
                <c:pt idx="39">
                  <c:v>-0.58283138259429601</c:v>
                </c:pt>
                <c:pt idx="40">
                  <c:v>-0.56212490008995586</c:v>
                </c:pt>
                <c:pt idx="41">
                  <c:v>-0.53714030767563625</c:v>
                </c:pt>
                <c:pt idx="42">
                  <c:v>-0.50806775318571984</c:v>
                </c:pt>
                <c:pt idx="43">
                  <c:v>-0.47512849631436294</c:v>
                </c:pt>
                <c:pt idx="44">
                  <c:v>-0.43857322469562393</c:v>
                </c:pt>
                <c:pt idx="45">
                  <c:v>-0.39868014601919771</c:v>
                </c:pt>
                <c:pt idx="46">
                  <c:v>-0.35575287070191147</c:v>
                </c:pt>
                <c:pt idx="47">
                  <c:v>-0.31011810122912731</c:v>
                </c:pt>
                <c:pt idx="48">
                  <c:v>-0.26212314575155971</c:v>
                </c:pt>
                <c:pt idx="49">
                  <c:v>-0.21213327486054043</c:v>
                </c:pt>
                <c:pt idx="50">
                  <c:v>-0.16052894165825898</c:v>
                </c:pt>
                <c:pt idx="51">
                  <c:v>-0.10770288627993307</c:v>
                </c:pt>
                <c:pt idx="52">
                  <c:v>-5.4057146904236068E-2</c:v>
                </c:pt>
                <c:pt idx="53">
                  <c:v>-1.13982213768018E-16</c:v>
                </c:pt>
                <c:pt idx="54">
                  <c:v>5.4057146904235846E-2</c:v>
                </c:pt>
                <c:pt idx="55">
                  <c:v>0.10770288627993285</c:v>
                </c:pt>
                <c:pt idx="56">
                  <c:v>0.16052894165825876</c:v>
                </c:pt>
                <c:pt idx="57">
                  <c:v>0.2121332748605407</c:v>
                </c:pt>
                <c:pt idx="58">
                  <c:v>0.26212314575155998</c:v>
                </c:pt>
                <c:pt idx="59">
                  <c:v>0.31011810122912709</c:v>
                </c:pt>
                <c:pt idx="60">
                  <c:v>0.35575287070191125</c:v>
                </c:pt>
                <c:pt idx="61">
                  <c:v>0.39868014601919755</c:v>
                </c:pt>
                <c:pt idx="62">
                  <c:v>0.43857322469562371</c:v>
                </c:pt>
                <c:pt idx="63">
                  <c:v>0.47512849631436277</c:v>
                </c:pt>
                <c:pt idx="64">
                  <c:v>0.50806775318571973</c:v>
                </c:pt>
                <c:pt idx="65">
                  <c:v>0.53714030767563614</c:v>
                </c:pt>
                <c:pt idx="66">
                  <c:v>0.56212490008995586</c:v>
                </c:pt>
                <c:pt idx="67">
                  <c:v>0.58283138259429601</c:v>
                </c:pt>
                <c:pt idx="68">
                  <c:v>0.59910216635388291</c:v>
                </c:pt>
                <c:pt idx="69">
                  <c:v>0.61081342087973811</c:v>
                </c:pt>
                <c:pt idx="70">
                  <c:v>0.61787601645347112</c:v>
                </c:pt>
                <c:pt idx="71">
                  <c:v>0.62023620245825406</c:v>
                </c:pt>
              </c:numCache>
            </c:numRef>
          </c:xVal>
          <c:yVal>
            <c:numRef>
              <c:f>'Vent Hole'!$AQ$5:$AQ$76</c:f>
              <c:numCache>
                <c:formatCode>General</c:formatCode>
                <c:ptCount val="72"/>
                <c:pt idx="0">
                  <c:v>0</c:v>
                </c:pt>
                <c:pt idx="1">
                  <c:v>5.405714690423602E-2</c:v>
                </c:pt>
                <c:pt idx="2">
                  <c:v>0.10770288627993307</c:v>
                </c:pt>
                <c:pt idx="3">
                  <c:v>0.16052894165825904</c:v>
                </c:pt>
                <c:pt idx="4">
                  <c:v>0.21213327486054054</c:v>
                </c:pt>
                <c:pt idx="5">
                  <c:v>0.26212314575155987</c:v>
                </c:pt>
                <c:pt idx="6">
                  <c:v>0.31011810122912697</c:v>
                </c:pt>
                <c:pt idx="7">
                  <c:v>0.35575287070191125</c:v>
                </c:pt>
                <c:pt idx="8">
                  <c:v>0.39868014601919755</c:v>
                </c:pt>
                <c:pt idx="9">
                  <c:v>0.43857322469562382</c:v>
                </c:pt>
                <c:pt idx="10">
                  <c:v>0.47512849631436294</c:v>
                </c:pt>
                <c:pt idx="11">
                  <c:v>0.50806775318571984</c:v>
                </c:pt>
                <c:pt idx="12">
                  <c:v>0.53714030767563625</c:v>
                </c:pt>
                <c:pt idx="13">
                  <c:v>0.58283138259429601</c:v>
                </c:pt>
                <c:pt idx="14">
                  <c:v>0.59910216635388291</c:v>
                </c:pt>
                <c:pt idx="15">
                  <c:v>0.61081342087973811</c:v>
                </c:pt>
                <c:pt idx="16">
                  <c:v>0.61787601645347112</c:v>
                </c:pt>
                <c:pt idx="17">
                  <c:v>0.62023620245825406</c:v>
                </c:pt>
                <c:pt idx="18">
                  <c:v>0.61787601645347112</c:v>
                </c:pt>
                <c:pt idx="19">
                  <c:v>0.61081342087973811</c:v>
                </c:pt>
                <c:pt idx="20">
                  <c:v>0.59910216635388291</c:v>
                </c:pt>
                <c:pt idx="21">
                  <c:v>0.58283138259429601</c:v>
                </c:pt>
                <c:pt idx="22">
                  <c:v>0.56212490008995586</c:v>
                </c:pt>
                <c:pt idx="23">
                  <c:v>0.53714030767563636</c:v>
                </c:pt>
                <c:pt idx="24">
                  <c:v>0.50806775318571973</c:v>
                </c:pt>
                <c:pt idx="25">
                  <c:v>0.47512849631436294</c:v>
                </c:pt>
                <c:pt idx="26">
                  <c:v>0.43857322469562388</c:v>
                </c:pt>
                <c:pt idx="27">
                  <c:v>0.39868014601919771</c:v>
                </c:pt>
                <c:pt idx="28">
                  <c:v>0.35575287070191119</c:v>
                </c:pt>
                <c:pt idx="29">
                  <c:v>0.31011810122912697</c:v>
                </c:pt>
                <c:pt idx="30">
                  <c:v>0.26212314575155987</c:v>
                </c:pt>
                <c:pt idx="31">
                  <c:v>0.21213327486054062</c:v>
                </c:pt>
                <c:pt idx="32">
                  <c:v>0.16052894165825921</c:v>
                </c:pt>
                <c:pt idx="33">
                  <c:v>0.10770288627993303</c:v>
                </c:pt>
                <c:pt idx="34">
                  <c:v>5.4057146904236034E-2</c:v>
                </c:pt>
                <c:pt idx="35">
                  <c:v>7.5988142512012002E-17</c:v>
                </c:pt>
                <c:pt idx="36">
                  <c:v>-5.4057146904235881E-2</c:v>
                </c:pt>
                <c:pt idx="37">
                  <c:v>-0.10770288627993316</c:v>
                </c:pt>
                <c:pt idx="38">
                  <c:v>-0.16052894165825907</c:v>
                </c:pt>
                <c:pt idx="39">
                  <c:v>-0.21213327486054048</c:v>
                </c:pt>
                <c:pt idx="40">
                  <c:v>-0.26212314575155976</c:v>
                </c:pt>
                <c:pt idx="41">
                  <c:v>-0.31011810122912709</c:v>
                </c:pt>
                <c:pt idx="42">
                  <c:v>-0.35575287070191136</c:v>
                </c:pt>
                <c:pt idx="43">
                  <c:v>-0.39868014601919755</c:v>
                </c:pt>
                <c:pt idx="44">
                  <c:v>-0.43857322469562382</c:v>
                </c:pt>
                <c:pt idx="45">
                  <c:v>-0.47512849631436288</c:v>
                </c:pt>
                <c:pt idx="46">
                  <c:v>-0.50806775318571973</c:v>
                </c:pt>
                <c:pt idx="47">
                  <c:v>-0.53714030767563614</c:v>
                </c:pt>
                <c:pt idx="48">
                  <c:v>-0.56212490008995586</c:v>
                </c:pt>
                <c:pt idx="49">
                  <c:v>-0.58283138259429601</c:v>
                </c:pt>
                <c:pt idx="50">
                  <c:v>-0.59910216635388291</c:v>
                </c:pt>
                <c:pt idx="51">
                  <c:v>-0.61081342087973811</c:v>
                </c:pt>
                <c:pt idx="52">
                  <c:v>-0.61787601645347112</c:v>
                </c:pt>
                <c:pt idx="53">
                  <c:v>-0.62023620245825406</c:v>
                </c:pt>
                <c:pt idx="54">
                  <c:v>-0.61787601645347112</c:v>
                </c:pt>
                <c:pt idx="55">
                  <c:v>-0.61081342087973822</c:v>
                </c:pt>
                <c:pt idx="56">
                  <c:v>-0.59910216635388303</c:v>
                </c:pt>
                <c:pt idx="57">
                  <c:v>-0.58283138259429601</c:v>
                </c:pt>
                <c:pt idx="58">
                  <c:v>-0.56212490008995586</c:v>
                </c:pt>
                <c:pt idx="59">
                  <c:v>-0.53714030767563625</c:v>
                </c:pt>
                <c:pt idx="60">
                  <c:v>-0.50806775318571984</c:v>
                </c:pt>
                <c:pt idx="61">
                  <c:v>-0.47512849631436299</c:v>
                </c:pt>
                <c:pt idx="62">
                  <c:v>-0.43857322469562393</c:v>
                </c:pt>
                <c:pt idx="63">
                  <c:v>-0.39868014601919777</c:v>
                </c:pt>
                <c:pt idx="64">
                  <c:v>-0.35575287070191153</c:v>
                </c:pt>
                <c:pt idx="65">
                  <c:v>-0.31011810122912731</c:v>
                </c:pt>
                <c:pt idx="66">
                  <c:v>-0.26212314575155971</c:v>
                </c:pt>
                <c:pt idx="67">
                  <c:v>-0.21213327486054046</c:v>
                </c:pt>
                <c:pt idx="68">
                  <c:v>-0.16052894165825901</c:v>
                </c:pt>
                <c:pt idx="69">
                  <c:v>-0.1077028862799331</c:v>
                </c:pt>
                <c:pt idx="70">
                  <c:v>-5.405714690423611E-2</c:v>
                </c:pt>
                <c:pt idx="71">
                  <c:v>-1.51976285024024E-16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AB9-4CE2-88B8-BCB214EFC80F}"/>
            </c:ext>
          </c:extLst>
        </c:ser>
        <c:ser>
          <c:idx val="1"/>
          <c:order val="1"/>
          <c:tx>
            <c:v>Hole</c:v>
          </c:tx>
          <c:spPr>
            <a:ln w="158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'Vent Hole'!$AU$5:$AU$76</c:f>
              <c:numCache>
                <c:formatCode>General</c:formatCode>
                <c:ptCount val="72"/>
                <c:pt idx="0">
                  <c:v>2.4809448098330161E-2</c:v>
                </c:pt>
                <c:pt idx="1">
                  <c:v>2.4715040658138846E-2</c:v>
                </c:pt>
                <c:pt idx="2">
                  <c:v>2.4432536835189523E-2</c:v>
                </c:pt>
                <c:pt idx="3">
                  <c:v>2.3964086654155316E-2</c:v>
                </c:pt>
                <c:pt idx="4">
                  <c:v>2.3313255303771842E-2</c:v>
                </c:pt>
                <c:pt idx="5">
                  <c:v>2.2484996003598233E-2</c:v>
                </c:pt>
                <c:pt idx="6">
                  <c:v>2.1485612307025451E-2</c:v>
                </c:pt>
                <c:pt idx="7">
                  <c:v>2.0322710127428791E-2</c:v>
                </c:pt>
                <c:pt idx="8">
                  <c:v>1.9005139852574515E-2</c:v>
                </c:pt>
                <c:pt idx="9">
                  <c:v>1.7542928987824953E-2</c:v>
                </c:pt>
                <c:pt idx="10">
                  <c:v>1.5947205840767902E-2</c:v>
                </c:pt>
                <c:pt idx="11">
                  <c:v>1.4230114828076453E-2</c:v>
                </c:pt>
                <c:pt idx="12">
                  <c:v>1.2404724049165084E-2</c:v>
                </c:pt>
                <c:pt idx="13">
                  <c:v>8.4853309944216242E-3</c:v>
                </c:pt>
                <c:pt idx="14">
                  <c:v>6.4211576663303618E-3</c:v>
                </c:pt>
                <c:pt idx="15">
                  <c:v>4.3081154511973247E-3</c:v>
                </c:pt>
                <c:pt idx="16">
                  <c:v>2.1622858761694399E-3</c:v>
                </c:pt>
                <c:pt idx="17">
                  <c:v>1.5197628502402398E-18</c:v>
                </c:pt>
                <c:pt idx="18">
                  <c:v>-2.1622858761694425E-3</c:v>
                </c:pt>
                <c:pt idx="19">
                  <c:v>-4.3081154511973221E-3</c:v>
                </c:pt>
                <c:pt idx="20">
                  <c:v>-6.4211576663303644E-3</c:v>
                </c:pt>
                <c:pt idx="21">
                  <c:v>-8.4853309944216207E-3</c:v>
                </c:pt>
                <c:pt idx="22">
                  <c:v>-1.0484925830062391E-2</c:v>
                </c:pt>
                <c:pt idx="23">
                  <c:v>-1.2404724049165075E-2</c:v>
                </c:pt>
                <c:pt idx="24">
                  <c:v>-1.4230114828076453E-2</c:v>
                </c:pt>
                <c:pt idx="25">
                  <c:v>-1.5947205840767902E-2</c:v>
                </c:pt>
                <c:pt idx="26">
                  <c:v>-1.7542928987824953E-2</c:v>
                </c:pt>
                <c:pt idx="27">
                  <c:v>-1.9005139852574515E-2</c:v>
                </c:pt>
                <c:pt idx="28">
                  <c:v>-2.0322710127428794E-2</c:v>
                </c:pt>
                <c:pt idx="29">
                  <c:v>-2.1485612307025451E-2</c:v>
                </c:pt>
                <c:pt idx="30">
                  <c:v>-2.2484996003598233E-2</c:v>
                </c:pt>
                <c:pt idx="31">
                  <c:v>-2.3313255303771839E-2</c:v>
                </c:pt>
                <c:pt idx="32">
                  <c:v>-2.3964086654155312E-2</c:v>
                </c:pt>
                <c:pt idx="33">
                  <c:v>-2.4432536835189523E-2</c:v>
                </c:pt>
                <c:pt idx="34">
                  <c:v>-2.4715040658138846E-2</c:v>
                </c:pt>
                <c:pt idx="35">
                  <c:v>-2.4809448098330161E-2</c:v>
                </c:pt>
                <c:pt idx="36">
                  <c:v>-2.4715040658138846E-2</c:v>
                </c:pt>
                <c:pt idx="37">
                  <c:v>-2.4432536835189523E-2</c:v>
                </c:pt>
                <c:pt idx="38">
                  <c:v>-2.3964086654155316E-2</c:v>
                </c:pt>
                <c:pt idx="39">
                  <c:v>-2.3313255303771842E-2</c:v>
                </c:pt>
                <c:pt idx="40">
                  <c:v>-2.2484996003598233E-2</c:v>
                </c:pt>
                <c:pt idx="41">
                  <c:v>-2.1485612307025451E-2</c:v>
                </c:pt>
                <c:pt idx="42">
                  <c:v>-2.0322710127428791E-2</c:v>
                </c:pt>
                <c:pt idx="43">
                  <c:v>-1.9005139852574515E-2</c:v>
                </c:pt>
                <c:pt idx="44">
                  <c:v>-1.7542928987824957E-2</c:v>
                </c:pt>
                <c:pt idx="45">
                  <c:v>-1.5947205840767906E-2</c:v>
                </c:pt>
                <c:pt idx="46">
                  <c:v>-1.4230114828076458E-2</c:v>
                </c:pt>
                <c:pt idx="47">
                  <c:v>-1.2404724049165091E-2</c:v>
                </c:pt>
                <c:pt idx="48">
                  <c:v>-1.0484925830062388E-2</c:v>
                </c:pt>
                <c:pt idx="49">
                  <c:v>-8.4853309944216172E-3</c:v>
                </c:pt>
                <c:pt idx="50">
                  <c:v>-6.4211576663303583E-3</c:v>
                </c:pt>
                <c:pt idx="51">
                  <c:v>-4.3081154511973229E-3</c:v>
                </c:pt>
                <c:pt idx="52">
                  <c:v>-2.1622858761694429E-3</c:v>
                </c:pt>
                <c:pt idx="53">
                  <c:v>-4.5592885507207197E-18</c:v>
                </c:pt>
                <c:pt idx="54">
                  <c:v>2.1622858761694338E-3</c:v>
                </c:pt>
                <c:pt idx="55">
                  <c:v>4.3081154511973134E-3</c:v>
                </c:pt>
                <c:pt idx="56">
                  <c:v>6.4211576663303505E-3</c:v>
                </c:pt>
                <c:pt idx="57">
                  <c:v>8.4853309944216276E-3</c:v>
                </c:pt>
                <c:pt idx="58">
                  <c:v>1.0484925830062398E-2</c:v>
                </c:pt>
                <c:pt idx="59">
                  <c:v>1.2404724049165084E-2</c:v>
                </c:pt>
                <c:pt idx="60">
                  <c:v>1.423011482807645E-2</c:v>
                </c:pt>
                <c:pt idx="61">
                  <c:v>1.5947205840767902E-2</c:v>
                </c:pt>
                <c:pt idx="62">
                  <c:v>1.754292898782495E-2</c:v>
                </c:pt>
                <c:pt idx="63">
                  <c:v>1.9005139852574512E-2</c:v>
                </c:pt>
                <c:pt idx="64">
                  <c:v>2.0322710127428787E-2</c:v>
                </c:pt>
                <c:pt idx="65">
                  <c:v>2.1485612307025444E-2</c:v>
                </c:pt>
                <c:pt idx="66">
                  <c:v>2.2484996003598233E-2</c:v>
                </c:pt>
                <c:pt idx="67">
                  <c:v>2.3313255303771842E-2</c:v>
                </c:pt>
                <c:pt idx="68">
                  <c:v>2.3964086654155316E-2</c:v>
                </c:pt>
                <c:pt idx="69">
                  <c:v>2.4432536835189523E-2</c:v>
                </c:pt>
                <c:pt idx="70">
                  <c:v>2.4715040658138846E-2</c:v>
                </c:pt>
                <c:pt idx="71">
                  <c:v>2.4809448098330161E-2</c:v>
                </c:pt>
              </c:numCache>
            </c:numRef>
          </c:xVal>
          <c:yVal>
            <c:numRef>
              <c:f>'Vent Hole'!$AV$5:$AV$76</c:f>
              <c:numCache>
                <c:formatCode>General</c:formatCode>
                <c:ptCount val="72"/>
                <c:pt idx="0">
                  <c:v>0</c:v>
                </c:pt>
                <c:pt idx="1">
                  <c:v>2.1622858761694407E-3</c:v>
                </c:pt>
                <c:pt idx="2">
                  <c:v>4.3081154511973229E-3</c:v>
                </c:pt>
                <c:pt idx="3">
                  <c:v>6.4211576663303618E-3</c:v>
                </c:pt>
                <c:pt idx="4">
                  <c:v>8.4853309944216207E-3</c:v>
                </c:pt>
                <c:pt idx="5">
                  <c:v>1.0484925830062395E-2</c:v>
                </c:pt>
                <c:pt idx="6">
                  <c:v>1.2404724049165079E-2</c:v>
                </c:pt>
                <c:pt idx="7">
                  <c:v>1.423011482807645E-2</c:v>
                </c:pt>
                <c:pt idx="8">
                  <c:v>1.5947205840767902E-2</c:v>
                </c:pt>
                <c:pt idx="9">
                  <c:v>1.7542928987824953E-2</c:v>
                </c:pt>
                <c:pt idx="10">
                  <c:v>1.9005139852574515E-2</c:v>
                </c:pt>
                <c:pt idx="11">
                  <c:v>2.0322710127428791E-2</c:v>
                </c:pt>
                <c:pt idx="12">
                  <c:v>2.1485612307025451E-2</c:v>
                </c:pt>
                <c:pt idx="13">
                  <c:v>2.3313255303771839E-2</c:v>
                </c:pt>
                <c:pt idx="14">
                  <c:v>2.3964086654155316E-2</c:v>
                </c:pt>
                <c:pt idx="15">
                  <c:v>2.4432536835189523E-2</c:v>
                </c:pt>
                <c:pt idx="16">
                  <c:v>2.4715040658138846E-2</c:v>
                </c:pt>
                <c:pt idx="17">
                  <c:v>2.4809448098330161E-2</c:v>
                </c:pt>
                <c:pt idx="18">
                  <c:v>2.4715040658138846E-2</c:v>
                </c:pt>
                <c:pt idx="19">
                  <c:v>2.4432536835189523E-2</c:v>
                </c:pt>
                <c:pt idx="20">
                  <c:v>2.3964086654155316E-2</c:v>
                </c:pt>
                <c:pt idx="21">
                  <c:v>2.3313255303771842E-2</c:v>
                </c:pt>
                <c:pt idx="22">
                  <c:v>2.2484996003598233E-2</c:v>
                </c:pt>
                <c:pt idx="23">
                  <c:v>2.1485612307025451E-2</c:v>
                </c:pt>
                <c:pt idx="24">
                  <c:v>2.0322710127428791E-2</c:v>
                </c:pt>
                <c:pt idx="25">
                  <c:v>1.9005139852574515E-2</c:v>
                </c:pt>
                <c:pt idx="26">
                  <c:v>1.7542928987824953E-2</c:v>
                </c:pt>
                <c:pt idx="27">
                  <c:v>1.5947205840767906E-2</c:v>
                </c:pt>
                <c:pt idx="28">
                  <c:v>1.4230114828076448E-2</c:v>
                </c:pt>
                <c:pt idx="29">
                  <c:v>1.2404724049165079E-2</c:v>
                </c:pt>
                <c:pt idx="30">
                  <c:v>1.0484925830062395E-2</c:v>
                </c:pt>
                <c:pt idx="31">
                  <c:v>8.4853309944216242E-3</c:v>
                </c:pt>
                <c:pt idx="32">
                  <c:v>6.4211576663303679E-3</c:v>
                </c:pt>
                <c:pt idx="33">
                  <c:v>4.3081154511973212E-3</c:v>
                </c:pt>
                <c:pt idx="34">
                  <c:v>2.1622858761694412E-3</c:v>
                </c:pt>
                <c:pt idx="35">
                  <c:v>3.0395257004804797E-18</c:v>
                </c:pt>
                <c:pt idx="36">
                  <c:v>-2.1622858761694351E-3</c:v>
                </c:pt>
                <c:pt idx="37">
                  <c:v>-4.3081154511973264E-3</c:v>
                </c:pt>
                <c:pt idx="38">
                  <c:v>-6.4211576663303627E-3</c:v>
                </c:pt>
                <c:pt idx="39">
                  <c:v>-8.485330994421619E-3</c:v>
                </c:pt>
                <c:pt idx="40">
                  <c:v>-1.0484925830062389E-2</c:v>
                </c:pt>
                <c:pt idx="41">
                  <c:v>-1.2404724049165084E-2</c:v>
                </c:pt>
                <c:pt idx="42">
                  <c:v>-1.4230114828076453E-2</c:v>
                </c:pt>
                <c:pt idx="43">
                  <c:v>-1.5947205840767902E-2</c:v>
                </c:pt>
                <c:pt idx="44">
                  <c:v>-1.7542928987824953E-2</c:v>
                </c:pt>
                <c:pt idx="45">
                  <c:v>-1.9005139852574515E-2</c:v>
                </c:pt>
                <c:pt idx="46">
                  <c:v>-2.0322710127428787E-2</c:v>
                </c:pt>
                <c:pt idx="47">
                  <c:v>-2.1485612307025444E-2</c:v>
                </c:pt>
                <c:pt idx="48">
                  <c:v>-2.2484996003598233E-2</c:v>
                </c:pt>
                <c:pt idx="49">
                  <c:v>-2.3313255303771842E-2</c:v>
                </c:pt>
                <c:pt idx="50">
                  <c:v>-2.3964086654155316E-2</c:v>
                </c:pt>
                <c:pt idx="51">
                  <c:v>-2.4432536835189523E-2</c:v>
                </c:pt>
                <c:pt idx="52">
                  <c:v>-2.4715040658138846E-2</c:v>
                </c:pt>
                <c:pt idx="53">
                  <c:v>-2.4809448098330161E-2</c:v>
                </c:pt>
                <c:pt idx="54">
                  <c:v>-2.4715040658138846E-2</c:v>
                </c:pt>
                <c:pt idx="55">
                  <c:v>-2.4432536835189526E-2</c:v>
                </c:pt>
                <c:pt idx="56">
                  <c:v>-2.3964086654155319E-2</c:v>
                </c:pt>
                <c:pt idx="57">
                  <c:v>-2.3313255303771839E-2</c:v>
                </c:pt>
                <c:pt idx="58">
                  <c:v>-2.2484996003598233E-2</c:v>
                </c:pt>
                <c:pt idx="59">
                  <c:v>-2.1485612307025451E-2</c:v>
                </c:pt>
                <c:pt idx="60">
                  <c:v>-2.0322710127428791E-2</c:v>
                </c:pt>
                <c:pt idx="61">
                  <c:v>-1.9005139852574519E-2</c:v>
                </c:pt>
                <c:pt idx="62">
                  <c:v>-1.7542928987824957E-2</c:v>
                </c:pt>
                <c:pt idx="63">
                  <c:v>-1.5947205840767909E-2</c:v>
                </c:pt>
                <c:pt idx="64">
                  <c:v>-1.4230114828076462E-2</c:v>
                </c:pt>
                <c:pt idx="65">
                  <c:v>-1.2404724049165091E-2</c:v>
                </c:pt>
                <c:pt idx="66">
                  <c:v>-1.0484925830062389E-2</c:v>
                </c:pt>
                <c:pt idx="67">
                  <c:v>-8.485330994421619E-3</c:v>
                </c:pt>
                <c:pt idx="68">
                  <c:v>-6.4211576663303601E-3</c:v>
                </c:pt>
                <c:pt idx="69">
                  <c:v>-4.3081154511973238E-3</c:v>
                </c:pt>
                <c:pt idx="70">
                  <c:v>-2.1622858761694446E-3</c:v>
                </c:pt>
                <c:pt idx="71">
                  <c:v>-6.0790514009609593E-18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9-3AB9-4CE2-88B8-BCB214EFC80F}"/>
            </c:ext>
          </c:extLst>
        </c:ser>
        <c:ser>
          <c:idx val="2"/>
          <c:order val="2"/>
          <c:tx>
            <c:strRef>
              <c:f>'Vent Hole'!$AX$24</c:f>
              <c:strCache>
                <c:ptCount val="1"/>
                <c:pt idx="0">
                  <c:v>Raio do Velame: 0,62 m</c:v>
                </c:pt>
              </c:strCache>
            </c:strRef>
          </c:tx>
          <c:spPr>
            <a:ln w="15875" cap="rnd">
              <a:solidFill>
                <a:srgbClr val="230086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Lbl>
              <c:idx val="5"/>
              <c:tx>
                <c:rich>
                  <a:bodyPr/>
                  <a:lstStyle/>
                  <a:p>
                    <a:fld id="{EA5766AD-AD3D-45E7-8F3F-335CD115C4E0}" type="CELLREF">
                      <a:rPr lang="en-US" sz="1000"/>
                      <a:pPr/>
                      <a:t>[CELLREF]</a:t>
                    </a:fld>
                    <a:endParaRPr lang="pt-BR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{EA5766AD-AD3D-45E7-8F3F-335CD115C4E0}</c15:txfldGUID>
                      <c15:f>'Vent Hole'!$R$38</c15:f>
                      <c15:dlblFieldTableCache>
                        <c:ptCount val="1"/>
                        <c:pt idx="0">
                          <c:v>0,620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0-D89E-4421-B224-EAAD51BDB5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'Vent Hole'!$AY$7:$AY$12</c:f>
              <c:numCache>
                <c:formatCode>General</c:formatCode>
                <c:ptCount val="6"/>
                <c:pt idx="0">
                  <c:v>0</c:v>
                </c:pt>
                <c:pt idx="1">
                  <c:v>0.12404724049165081</c:v>
                </c:pt>
                <c:pt idx="2">
                  <c:v>0.24809448098330161</c:v>
                </c:pt>
                <c:pt idx="3">
                  <c:v>0.37214172147495239</c:v>
                </c:pt>
                <c:pt idx="4">
                  <c:v>0.49618896196660323</c:v>
                </c:pt>
                <c:pt idx="5">
                  <c:v>0.62023620245825406</c:v>
                </c:pt>
              </c:numCache>
            </c:numRef>
          </c:xVal>
          <c:yVal>
            <c:numRef>
              <c:f>'Vent Hole'!$AZ$7:$AZ$12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C-3AB9-4CE2-88B8-BCB214EFC80F}"/>
            </c:ext>
          </c:extLst>
        </c:ser>
        <c:ser>
          <c:idx val="3"/>
          <c:order val="3"/>
          <c:tx>
            <c:strRef>
              <c:f>'Vent Hole'!$AX$25</c:f>
              <c:strCache>
                <c:ptCount val="1"/>
                <c:pt idx="0">
                  <c:v>Raio do Hole: 0,025 m</c:v>
                </c:pt>
              </c:strCache>
            </c:strRef>
          </c:tx>
          <c:spPr>
            <a:ln w="15875" cap="rnd">
              <a:solidFill>
                <a:srgbClr val="FF0066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Lbl>
              <c:idx val="4"/>
              <c:tx>
                <c:rich>
                  <a:bodyPr/>
                  <a:lstStyle/>
                  <a:p>
                    <a:fld id="{C51F2F42-2A5B-4B1F-BAC9-9704B76A0E95}" type="CELLREF">
                      <a:rPr lang="en-US" sz="1000"/>
                      <a:pPr/>
                      <a:t>[CELLREF]</a:t>
                    </a:fld>
                    <a:endParaRPr lang="pt-BR"/>
                  </a:p>
                </c:rich>
              </c:tx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{C51F2F42-2A5B-4B1F-BAC9-9704B76A0E95}</c15:txfldGUID>
                      <c15:f>'Vent Hole'!$R$39</c15:f>
                      <c15:dlblFieldTableCache>
                        <c:ptCount val="1"/>
                        <c:pt idx="0">
                          <c:v>0,025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D89E-4421-B224-EAAD51BDB5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'Vent Hole'!$AY$18:$AY$22</c:f>
              <c:numCache>
                <c:formatCode>General</c:formatCode>
                <c:ptCount val="5"/>
                <c:pt idx="0">
                  <c:v>0</c:v>
                </c:pt>
                <c:pt idx="1">
                  <c:v>-6.2023620245825403E-3</c:v>
                </c:pt>
                <c:pt idx="2">
                  <c:v>-1.2404724049165081E-2</c:v>
                </c:pt>
                <c:pt idx="3">
                  <c:v>-1.8607086073747621E-2</c:v>
                </c:pt>
                <c:pt idx="4">
                  <c:v>-2.4809448098330161E-2</c:v>
                </c:pt>
              </c:numCache>
            </c:numRef>
          </c:xVal>
          <c:yVal>
            <c:numRef>
              <c:f>'Vent Hole'!$AZ$18:$AZ$22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D-3AB9-4CE2-88B8-BCB214EFC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4657824"/>
        <c:axId val="1094668864"/>
      </c:scatterChart>
      <c:valAx>
        <c:axId val="109465782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94668864"/>
        <c:crosses val="autoZero"/>
        <c:crossBetween val="midCat"/>
      </c:valAx>
      <c:valAx>
        <c:axId val="109466886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94657824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l"/>
      <c:layout>
        <c:manualLayout>
          <c:xMode val="edge"/>
          <c:yMode val="edge"/>
          <c:x val="1.6987964109173009E-2"/>
          <c:y val="8.2139076111729298E-2"/>
          <c:w val="0.28844567262454235"/>
          <c:h val="0.1579856419231820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Dimensões dos cordins [m]</a:t>
            </a:r>
          </a:p>
        </c:rich>
      </c:tx>
      <c:layout>
        <c:manualLayout>
          <c:xMode val="edge"/>
          <c:yMode val="edge"/>
          <c:x val="0.11225304443519618"/>
          <c:y val="3.1135374732635231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4268682216329184"/>
          <c:y val="0.12899339236037505"/>
          <c:w val="0.78653378883104108"/>
          <c:h val="0.83555025538820094"/>
        </c:manualLayout>
      </c:layout>
      <c:scatterChart>
        <c:scatterStyle val="smoothMarker"/>
        <c:varyColors val="0"/>
        <c:ser>
          <c:idx val="0"/>
          <c:order val="0"/>
          <c:tx>
            <c:v>Dir</c:v>
          </c:tx>
          <c:spPr>
            <a:ln w="15875">
              <a:solidFill>
                <a:srgbClr val="230086"/>
              </a:solidFill>
            </a:ln>
          </c:spPr>
          <c:marker>
            <c:symbol val="none"/>
          </c:marker>
          <c:xVal>
            <c:numRef>
              <c:f>Gomos!$AT$11:$AT$110</c:f>
              <c:numCache>
                <c:formatCode>0.000</c:formatCode>
                <c:ptCount val="100"/>
                <c:pt idx="0">
                  <c:v>0.62023620245825406</c:v>
                </c:pt>
                <c:pt idx="1">
                  <c:v>0.62650121460429709</c:v>
                </c:pt>
                <c:pt idx="2">
                  <c:v>0.63276622675034011</c:v>
                </c:pt>
                <c:pt idx="3">
                  <c:v>0.63903123889638314</c:v>
                </c:pt>
                <c:pt idx="4">
                  <c:v>0.64529625104242616</c:v>
                </c:pt>
                <c:pt idx="5">
                  <c:v>0.65156126318846919</c:v>
                </c:pt>
                <c:pt idx="6">
                  <c:v>0.65782627533451221</c:v>
                </c:pt>
                <c:pt idx="7">
                  <c:v>0.66409128748055524</c:v>
                </c:pt>
                <c:pt idx="8">
                  <c:v>0.67035629962659826</c:v>
                </c:pt>
                <c:pt idx="9">
                  <c:v>0.67662131177264129</c:v>
                </c:pt>
                <c:pt idx="10">
                  <c:v>0.68288632391868431</c:v>
                </c:pt>
                <c:pt idx="11">
                  <c:v>0.68915133606472734</c:v>
                </c:pt>
                <c:pt idx="12">
                  <c:v>0.69541634821077036</c:v>
                </c:pt>
                <c:pt idx="13">
                  <c:v>0.70168136035681339</c:v>
                </c:pt>
                <c:pt idx="14">
                  <c:v>0.70794637250285641</c:v>
                </c:pt>
                <c:pt idx="15">
                  <c:v>0.71421138464889944</c:v>
                </c:pt>
                <c:pt idx="16">
                  <c:v>0.72047639679494246</c:v>
                </c:pt>
                <c:pt idx="17">
                  <c:v>0.72674140894098549</c:v>
                </c:pt>
                <c:pt idx="18">
                  <c:v>0.73300642108702851</c:v>
                </c:pt>
                <c:pt idx="19">
                  <c:v>0.73927143323307154</c:v>
                </c:pt>
                <c:pt idx="20">
                  <c:v>0.74553644537911457</c:v>
                </c:pt>
                <c:pt idx="21">
                  <c:v>0.75180145752515759</c:v>
                </c:pt>
                <c:pt idx="22">
                  <c:v>0.75806646967120062</c:v>
                </c:pt>
                <c:pt idx="23">
                  <c:v>0.76433148181724364</c:v>
                </c:pt>
                <c:pt idx="24">
                  <c:v>0.77059649396328667</c:v>
                </c:pt>
                <c:pt idx="25">
                  <c:v>0.77686150610932969</c:v>
                </c:pt>
                <c:pt idx="26">
                  <c:v>0.78312651825537272</c:v>
                </c:pt>
                <c:pt idx="27">
                  <c:v>0.78939153040141574</c:v>
                </c:pt>
                <c:pt idx="28">
                  <c:v>0.79565654254745877</c:v>
                </c:pt>
                <c:pt idx="29">
                  <c:v>0.80192155469350179</c:v>
                </c:pt>
                <c:pt idx="30">
                  <c:v>0.80818656683954482</c:v>
                </c:pt>
                <c:pt idx="31">
                  <c:v>0.81445157898558784</c:v>
                </c:pt>
                <c:pt idx="32">
                  <c:v>0.82071659113163087</c:v>
                </c:pt>
                <c:pt idx="33">
                  <c:v>0.82698160327767389</c:v>
                </c:pt>
                <c:pt idx="34">
                  <c:v>0.83324661542371692</c:v>
                </c:pt>
                <c:pt idx="35">
                  <c:v>0.83951162756975994</c:v>
                </c:pt>
                <c:pt idx="36">
                  <c:v>0.84577663971580297</c:v>
                </c:pt>
                <c:pt idx="37">
                  <c:v>0.85204165186184599</c:v>
                </c:pt>
                <c:pt idx="38">
                  <c:v>0.85830666400788902</c:v>
                </c:pt>
                <c:pt idx="39">
                  <c:v>0.86457167615393204</c:v>
                </c:pt>
                <c:pt idx="40">
                  <c:v>0.87083668829997507</c:v>
                </c:pt>
                <c:pt idx="41">
                  <c:v>0.8771017004460181</c:v>
                </c:pt>
                <c:pt idx="42">
                  <c:v>0.88336671259206112</c:v>
                </c:pt>
                <c:pt idx="43">
                  <c:v>0.88963172473810415</c:v>
                </c:pt>
                <c:pt idx="44">
                  <c:v>0.89589673688414717</c:v>
                </c:pt>
                <c:pt idx="45">
                  <c:v>0.9021617490301902</c:v>
                </c:pt>
                <c:pt idx="46">
                  <c:v>0.90842676117623322</c:v>
                </c:pt>
                <c:pt idx="47">
                  <c:v>0.91469177332227625</c:v>
                </c:pt>
                <c:pt idx="48">
                  <c:v>0.92095678546831927</c:v>
                </c:pt>
                <c:pt idx="49">
                  <c:v>0.9272217976143623</c:v>
                </c:pt>
                <c:pt idx="50">
                  <c:v>0.93348680976040532</c:v>
                </c:pt>
                <c:pt idx="51">
                  <c:v>0.93975182190644835</c:v>
                </c:pt>
                <c:pt idx="52">
                  <c:v>0.94601683405249137</c:v>
                </c:pt>
                <c:pt idx="53">
                  <c:v>0.9522818461985344</c:v>
                </c:pt>
                <c:pt idx="54">
                  <c:v>0.95854685834457742</c:v>
                </c:pt>
                <c:pt idx="55">
                  <c:v>0.96481187049062045</c:v>
                </c:pt>
                <c:pt idx="56">
                  <c:v>0.97107688263666347</c:v>
                </c:pt>
                <c:pt idx="57">
                  <c:v>0.9773418947827065</c:v>
                </c:pt>
                <c:pt idx="58">
                  <c:v>0.98360690692874952</c:v>
                </c:pt>
                <c:pt idx="59">
                  <c:v>0.98987191907479255</c:v>
                </c:pt>
                <c:pt idx="60">
                  <c:v>0.99613693122083558</c:v>
                </c:pt>
                <c:pt idx="61">
                  <c:v>1.0024019433668785</c:v>
                </c:pt>
                <c:pt idx="62">
                  <c:v>1.0086669555129215</c:v>
                </c:pt>
                <c:pt idx="63">
                  <c:v>1.0149319676589645</c:v>
                </c:pt>
                <c:pt idx="64">
                  <c:v>1.0211969798050076</c:v>
                </c:pt>
                <c:pt idx="65">
                  <c:v>1.0274619919510506</c:v>
                </c:pt>
                <c:pt idx="66">
                  <c:v>1.0337270040970936</c:v>
                </c:pt>
                <c:pt idx="67">
                  <c:v>1.0399920162431366</c:v>
                </c:pt>
                <c:pt idx="68">
                  <c:v>1.0462570283891797</c:v>
                </c:pt>
                <c:pt idx="69">
                  <c:v>1.0525220405352227</c:v>
                </c:pt>
                <c:pt idx="70">
                  <c:v>1.0587870526812657</c:v>
                </c:pt>
                <c:pt idx="71">
                  <c:v>1.0650520648273087</c:v>
                </c:pt>
                <c:pt idx="72">
                  <c:v>1.0713170769733518</c:v>
                </c:pt>
                <c:pt idx="73">
                  <c:v>1.0775820891193948</c:v>
                </c:pt>
                <c:pt idx="74">
                  <c:v>1.0838471012654378</c:v>
                </c:pt>
                <c:pt idx="75">
                  <c:v>1.0901121134114808</c:v>
                </c:pt>
                <c:pt idx="76">
                  <c:v>1.0963771255575239</c:v>
                </c:pt>
                <c:pt idx="77">
                  <c:v>1.1026421377035669</c:v>
                </c:pt>
                <c:pt idx="78">
                  <c:v>1.1089071498496099</c:v>
                </c:pt>
                <c:pt idx="79">
                  <c:v>1.1151721619956529</c:v>
                </c:pt>
                <c:pt idx="80">
                  <c:v>1.121437174141696</c:v>
                </c:pt>
                <c:pt idx="81">
                  <c:v>1.127702186287739</c:v>
                </c:pt>
                <c:pt idx="82">
                  <c:v>1.133967198433782</c:v>
                </c:pt>
                <c:pt idx="83">
                  <c:v>1.140232210579825</c:v>
                </c:pt>
                <c:pt idx="84">
                  <c:v>1.1464972227258681</c:v>
                </c:pt>
                <c:pt idx="85">
                  <c:v>1.1527622348719111</c:v>
                </c:pt>
                <c:pt idx="86">
                  <c:v>1.1590272470179541</c:v>
                </c:pt>
                <c:pt idx="87">
                  <c:v>1.1652922591639971</c:v>
                </c:pt>
                <c:pt idx="88">
                  <c:v>1.1715572713100402</c:v>
                </c:pt>
                <c:pt idx="89">
                  <c:v>1.1778222834560832</c:v>
                </c:pt>
                <c:pt idx="90">
                  <c:v>1.1840872956021262</c:v>
                </c:pt>
                <c:pt idx="91">
                  <c:v>1.1903523077481692</c:v>
                </c:pt>
                <c:pt idx="92">
                  <c:v>1.1966173198942123</c:v>
                </c:pt>
                <c:pt idx="93">
                  <c:v>1.2028823320402553</c:v>
                </c:pt>
                <c:pt idx="94">
                  <c:v>1.2091473441862983</c:v>
                </c:pt>
                <c:pt idx="95">
                  <c:v>1.2154123563323413</c:v>
                </c:pt>
                <c:pt idx="96">
                  <c:v>1.2216773684783844</c:v>
                </c:pt>
                <c:pt idx="97">
                  <c:v>1.2279423806244274</c:v>
                </c:pt>
                <c:pt idx="98">
                  <c:v>1.2342073927704704</c:v>
                </c:pt>
                <c:pt idx="99">
                  <c:v>1.2404724049165134</c:v>
                </c:pt>
              </c:numCache>
            </c:numRef>
          </c:xVal>
          <c:yVal>
            <c:numRef>
              <c:f>Gomos!$AU$11:$AU$110</c:f>
              <c:numCache>
                <c:formatCode>0.000</c:formatCode>
                <c:ptCount val="100"/>
                <c:pt idx="0">
                  <c:v>0.43850699513798558</c:v>
                </c:pt>
                <c:pt idx="1">
                  <c:v>0.4384846240441701</c:v>
                </c:pt>
                <c:pt idx="2">
                  <c:v>0.43841750391355611</c:v>
                </c:pt>
                <c:pt idx="3">
                  <c:v>0.43830561418815139</c:v>
                </c:pt>
                <c:pt idx="4">
                  <c:v>0.43814892056963473</c:v>
                </c:pt>
                <c:pt idx="5">
                  <c:v>0.43794737496672287</c:v>
                </c:pt>
                <c:pt idx="6">
                  <c:v>0.43770091542122064</c:v>
                </c:pt>
                <c:pt idx="7">
                  <c:v>0.43740946601248754</c:v>
                </c:pt>
                <c:pt idx="8">
                  <c:v>0.43707293673997749</c:v>
                </c:pt>
                <c:pt idx="9">
                  <c:v>0.43669122338342342</c:v>
                </c:pt>
                <c:pt idx="10">
                  <c:v>0.43626420734015936</c:v>
                </c:pt>
                <c:pt idx="11">
                  <c:v>0.43579175543898019</c:v>
                </c:pt>
                <c:pt idx="12">
                  <c:v>0.4352737197298524</c:v>
                </c:pt>
                <c:pt idx="13">
                  <c:v>0.43470993724869023</c:v>
                </c:pt>
                <c:pt idx="14">
                  <c:v>0.43410022975631113</c:v>
                </c:pt>
                <c:pt idx="15">
                  <c:v>0.4334444034505785</c:v>
                </c:pt>
                <c:pt idx="16">
                  <c:v>0.43274224865062283</c:v>
                </c:pt>
                <c:pt idx="17">
                  <c:v>0.43199353945191227</c:v>
                </c:pt>
                <c:pt idx="18">
                  <c:v>0.43119803335081219</c:v>
                </c:pt>
                <c:pt idx="19">
                  <c:v>0.43035547083713166</c:v>
                </c:pt>
                <c:pt idx="20">
                  <c:v>0.42946557495300397</c:v>
                </c:pt>
                <c:pt idx="21">
                  <c:v>0.42852805081628331</c:v>
                </c:pt>
                <c:pt idx="22">
                  <c:v>0.42754258510646137</c:v>
                </c:pt>
                <c:pt idx="23">
                  <c:v>0.4265088455109135</c:v>
                </c:pt>
                <c:pt idx="24">
                  <c:v>0.42542648012907308</c:v>
                </c:pt>
                <c:pt idx="25">
                  <c:v>0.4242951168319013</c:v>
                </c:pt>
                <c:pt idx="26">
                  <c:v>0.42311436257376667</c:v>
                </c:pt>
                <c:pt idx="27">
                  <c:v>0.42188380265357039</c:v>
                </c:pt>
                <c:pt idx="28">
                  <c:v>0.42060299992165112</c:v>
                </c:pt>
                <c:pt idx="29">
                  <c:v>0.41927149392866198</c:v>
                </c:pt>
                <c:pt idx="30">
                  <c:v>0.41788880001224665</c:v>
                </c:pt>
                <c:pt idx="31">
                  <c:v>0.41645440831692815</c:v>
                </c:pt>
                <c:pt idx="32">
                  <c:v>0.41496778274217122</c:v>
                </c:pt>
                <c:pt idx="33">
                  <c:v>0.41342835981307424</c:v>
                </c:pt>
                <c:pt idx="34">
                  <c:v>0.4118355474675876</c:v>
                </c:pt>
                <c:pt idx="35">
                  <c:v>0.41018872375353055</c:v>
                </c:pt>
                <c:pt idx="36">
                  <c:v>0.40848723542798338</c:v>
                </c:pt>
                <c:pt idx="37">
                  <c:v>0.40673039645085179</c:v>
                </c:pt>
                <c:pt idx="38">
                  <c:v>0.40491748636353214</c:v>
                </c:pt>
                <c:pt idx="39">
                  <c:v>0.40304774854262526</c:v>
                </c:pt>
                <c:pt idx="40">
                  <c:v>0.40112038831754881</c:v>
                </c:pt>
                <c:pt idx="41">
                  <c:v>0.39913457093966043</c:v>
                </c:pt>
                <c:pt idx="42">
                  <c:v>0.39708941938910486</c:v>
                </c:pt>
                <c:pt idx="43">
                  <c:v>0.39498401200401745</c:v>
                </c:pt>
                <c:pt idx="44">
                  <c:v>0.39281737991492571</c:v>
                </c:pt>
                <c:pt idx="45">
                  <c:v>0.39058850426515135</c:v>
                </c:pt>
                <c:pt idx="46">
                  <c:v>0.3882963131956999</c:v>
                </c:pt>
                <c:pt idx="47">
                  <c:v>0.3859396785704754</c:v>
                </c:pt>
                <c:pt idx="48">
                  <c:v>0.38351741241463144</c:v>
                </c:pt>
                <c:pt idx="49">
                  <c:v>0.38102826303539605</c:v>
                </c:pt>
                <c:pt idx="50">
                  <c:v>0.37847091079071232</c:v>
                </c:pt>
                <c:pt idx="51">
                  <c:v>0.37584396346643034</c:v>
                </c:pt>
                <c:pt idx="52">
                  <c:v>0.37314595121746053</c:v>
                </c:pt>
                <c:pt idx="53">
                  <c:v>0.37037532102211579</c:v>
                </c:pt>
                <c:pt idx="54">
                  <c:v>0.36753043059168716</c:v>
                </c:pt>
                <c:pt idx="55">
                  <c:v>0.36460954166890713</c:v>
                </c:pt>
                <c:pt idx="56">
                  <c:v>0.36161081263913269</c:v>
                </c:pt>
                <c:pt idx="57">
                  <c:v>0.35853229036654582</c:v>
                </c:pt>
                <c:pt idx="58">
                  <c:v>0.35537190115406175</c:v>
                </c:pt>
                <c:pt idx="59">
                  <c:v>0.35212744070953506</c:v>
                </c:pt>
                <c:pt idx="60">
                  <c:v>0.34879656298172712</c:v>
                </c:pt>
                <c:pt idx="61">
                  <c:v>0.34537676770667214</c:v>
                </c:pt>
                <c:pt idx="62">
                  <c:v>0.34186538647774073</c:v>
                </c:pt>
                <c:pt idx="63">
                  <c:v>0.33825956711978644</c:v>
                </c:pt>
                <c:pt idx="64">
                  <c:v>0.3345562561079668</c:v>
                </c:pt>
                <c:pt idx="65">
                  <c:v>0.33075217872346274</c:v>
                </c:pt>
                <c:pt idx="66">
                  <c:v>0.32684381657923295</c:v>
                </c:pt>
                <c:pt idx="67">
                  <c:v>0.32282738207634271</c:v>
                </c:pt>
                <c:pt idx="68">
                  <c:v>0.31869878926170159</c:v>
                </c:pt>
                <c:pt idx="69">
                  <c:v>0.31445362044649422</c:v>
                </c:pt>
                <c:pt idx="70">
                  <c:v>0.31008708780496663</c:v>
                </c:pt>
                <c:pt idx="71">
                  <c:v>0.30559398899724144</c:v>
                </c:pt>
                <c:pt idx="72">
                  <c:v>0.30096865563634861</c:v>
                </c:pt>
                <c:pt idx="73">
                  <c:v>0.29620489313358711</c:v>
                </c:pt>
                <c:pt idx="74">
                  <c:v>0.29129591008703221</c:v>
                </c:pt>
                <c:pt idx="75">
                  <c:v>0.28623423489689137</c:v>
                </c:pt>
                <c:pt idx="76">
                  <c:v>0.28101161665847391</c:v>
                </c:pt>
                <c:pt idx="77">
                  <c:v>0.27561890654204618</c:v>
                </c:pt>
                <c:pt idx="78">
                  <c:v>0.2700459147372557</c:v>
                </c:pt>
                <c:pt idx="79">
                  <c:v>0.26428123649921303</c:v>
                </c:pt>
                <c:pt idx="80">
                  <c:v>0.25831203870754582</c:v>
                </c:pt>
                <c:pt idx="81">
                  <c:v>0.25212379537316221</c:v>
                </c:pt>
                <c:pt idx="82">
                  <c:v>0.2456999562920423</c:v>
                </c:pt>
                <c:pt idx="83">
                  <c:v>0.23902152691102677</c:v>
                </c:pt>
                <c:pt idx="84">
                  <c:v>0.23206652841000086</c:v>
                </c:pt>
                <c:pt idx="85">
                  <c:v>0.22480929332677646</c:v>
                </c:pt>
                <c:pt idx="86">
                  <c:v>0.21721953089057938</c:v>
                </c:pt>
                <c:pt idx="87">
                  <c:v>0.20926106257731253</c:v>
                </c:pt>
                <c:pt idx="88">
                  <c:v>0.20089007316956298</c:v>
                </c:pt>
                <c:pt idx="89">
                  <c:v>0.19205262862450651</c:v>
                </c:pt>
                <c:pt idx="90">
                  <c:v>0.18268104527157905</c:v>
                </c:pt>
                <c:pt idx="91">
                  <c:v>0.17268838385332894</c:v>
                </c:pt>
                <c:pt idx="92">
                  <c:v>0.16195972650834062</c:v>
                </c:pt>
                <c:pt idx="93">
                  <c:v>0.15033758538656292</c:v>
                </c:pt>
                <c:pt idx="94">
                  <c:v>0.13759573985226287</c:v>
                </c:pt>
                <c:pt idx="95">
                  <c:v>0.12338779172813223</c:v>
                </c:pt>
                <c:pt idx="96">
                  <c:v>0.10713201270405642</c:v>
                </c:pt>
                <c:pt idx="97">
                  <c:v>8.7696924808815926E-2</c:v>
                </c:pt>
                <c:pt idx="98">
                  <c:v>6.2169080516346682E-2</c:v>
                </c:pt>
                <c:pt idx="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F50-484C-A94A-99325EA0910C}"/>
            </c:ext>
          </c:extLst>
        </c:ser>
        <c:ser>
          <c:idx val="1"/>
          <c:order val="1"/>
          <c:tx>
            <c:v>Esq</c:v>
          </c:tx>
          <c:spPr>
            <a:ln w="15875">
              <a:solidFill>
                <a:srgbClr val="230086"/>
              </a:solidFill>
            </a:ln>
          </c:spPr>
          <c:marker>
            <c:symbol val="none"/>
          </c:marker>
          <c:xVal>
            <c:numRef>
              <c:f>Gomos!$AV$11:$AV$110</c:f>
              <c:numCache>
                <c:formatCode>0.000</c:formatCode>
                <c:ptCount val="100"/>
                <c:pt idx="0">
                  <c:v>0.62023620245825406</c:v>
                </c:pt>
                <c:pt idx="1">
                  <c:v>0.61397119031221103</c:v>
                </c:pt>
                <c:pt idx="2">
                  <c:v>0.60770617816616801</c:v>
                </c:pt>
                <c:pt idx="3">
                  <c:v>0.60144116602012498</c:v>
                </c:pt>
                <c:pt idx="4">
                  <c:v>0.59517615387408196</c:v>
                </c:pt>
                <c:pt idx="5">
                  <c:v>0.58891114172803893</c:v>
                </c:pt>
                <c:pt idx="6">
                  <c:v>0.58264612958199591</c:v>
                </c:pt>
                <c:pt idx="7">
                  <c:v>0.57638111743595288</c:v>
                </c:pt>
                <c:pt idx="8">
                  <c:v>0.57011610528990986</c:v>
                </c:pt>
                <c:pt idx="9">
                  <c:v>0.56385109314386683</c:v>
                </c:pt>
                <c:pt idx="10">
                  <c:v>0.55758608099782381</c:v>
                </c:pt>
                <c:pt idx="11">
                  <c:v>0.55132106885178078</c:v>
                </c:pt>
                <c:pt idx="12">
                  <c:v>0.54505605670573776</c:v>
                </c:pt>
                <c:pt idx="13">
                  <c:v>0.53879104455969473</c:v>
                </c:pt>
                <c:pt idx="14">
                  <c:v>0.53252603241365171</c:v>
                </c:pt>
                <c:pt idx="15">
                  <c:v>0.52626102026760868</c:v>
                </c:pt>
                <c:pt idx="16">
                  <c:v>0.51999600812156566</c:v>
                </c:pt>
                <c:pt idx="17">
                  <c:v>0.51373099597552263</c:v>
                </c:pt>
                <c:pt idx="18">
                  <c:v>0.50746598382947961</c:v>
                </c:pt>
                <c:pt idx="19">
                  <c:v>0.50120097168343658</c:v>
                </c:pt>
                <c:pt idx="20">
                  <c:v>0.49493595953739355</c:v>
                </c:pt>
                <c:pt idx="21">
                  <c:v>0.48867094739135053</c:v>
                </c:pt>
                <c:pt idx="22">
                  <c:v>0.4824059352453075</c:v>
                </c:pt>
                <c:pt idx="23">
                  <c:v>0.47614092309926448</c:v>
                </c:pt>
                <c:pt idx="24">
                  <c:v>0.46987591095322145</c:v>
                </c:pt>
                <c:pt idx="25">
                  <c:v>0.46361089880717843</c:v>
                </c:pt>
                <c:pt idx="26">
                  <c:v>0.4573458866611354</c:v>
                </c:pt>
                <c:pt idx="27">
                  <c:v>0.45108087451509238</c:v>
                </c:pt>
                <c:pt idx="28">
                  <c:v>0.44481586236904935</c:v>
                </c:pt>
                <c:pt idx="29">
                  <c:v>0.43855085022300633</c:v>
                </c:pt>
                <c:pt idx="30">
                  <c:v>0.4322858380769633</c:v>
                </c:pt>
                <c:pt idx="31">
                  <c:v>0.42602082593092028</c:v>
                </c:pt>
                <c:pt idx="32">
                  <c:v>0.41975581378487725</c:v>
                </c:pt>
                <c:pt idx="33">
                  <c:v>0.41349080163883423</c:v>
                </c:pt>
                <c:pt idx="34">
                  <c:v>0.4072257894927912</c:v>
                </c:pt>
                <c:pt idx="35">
                  <c:v>0.40096077734674818</c:v>
                </c:pt>
                <c:pt idx="36">
                  <c:v>0.39469576520070515</c:v>
                </c:pt>
                <c:pt idx="37">
                  <c:v>0.38843075305466213</c:v>
                </c:pt>
                <c:pt idx="38">
                  <c:v>0.3821657409086191</c:v>
                </c:pt>
                <c:pt idx="39">
                  <c:v>0.37590072876257608</c:v>
                </c:pt>
                <c:pt idx="40">
                  <c:v>0.36963571661653305</c:v>
                </c:pt>
                <c:pt idx="41">
                  <c:v>0.36337070447049002</c:v>
                </c:pt>
                <c:pt idx="42">
                  <c:v>0.357105692324447</c:v>
                </c:pt>
                <c:pt idx="43">
                  <c:v>0.35084068017840397</c:v>
                </c:pt>
                <c:pt idx="44">
                  <c:v>0.34457566803236095</c:v>
                </c:pt>
                <c:pt idx="45">
                  <c:v>0.33831065588631792</c:v>
                </c:pt>
                <c:pt idx="46">
                  <c:v>0.3320456437402749</c:v>
                </c:pt>
                <c:pt idx="47">
                  <c:v>0.32578063159423187</c:v>
                </c:pt>
                <c:pt idx="48">
                  <c:v>0.31951561944818885</c:v>
                </c:pt>
                <c:pt idx="49">
                  <c:v>0.31325060730214582</c:v>
                </c:pt>
                <c:pt idx="50">
                  <c:v>0.3069855951561028</c:v>
                </c:pt>
                <c:pt idx="51">
                  <c:v>0.30072058301005977</c:v>
                </c:pt>
                <c:pt idx="52">
                  <c:v>0.29445557086401675</c:v>
                </c:pt>
                <c:pt idx="53">
                  <c:v>0.28819055871797372</c:v>
                </c:pt>
                <c:pt idx="54">
                  <c:v>0.2819255465719307</c:v>
                </c:pt>
                <c:pt idx="55">
                  <c:v>0.27566053442588767</c:v>
                </c:pt>
                <c:pt idx="56">
                  <c:v>0.26939552227984465</c:v>
                </c:pt>
                <c:pt idx="57">
                  <c:v>0.26313051013380162</c:v>
                </c:pt>
                <c:pt idx="58">
                  <c:v>0.2568654979877586</c:v>
                </c:pt>
                <c:pt idx="59">
                  <c:v>0.25060048584171557</c:v>
                </c:pt>
                <c:pt idx="60">
                  <c:v>0.24433547369567254</c:v>
                </c:pt>
                <c:pt idx="61">
                  <c:v>0.23807046154962963</c:v>
                </c:pt>
                <c:pt idx="62">
                  <c:v>0.23180544940358661</c:v>
                </c:pt>
                <c:pt idx="63">
                  <c:v>0.22554043725754358</c:v>
                </c:pt>
                <c:pt idx="64">
                  <c:v>0.21927542511150055</c:v>
                </c:pt>
                <c:pt idx="65">
                  <c:v>0.21301041296545753</c:v>
                </c:pt>
                <c:pt idx="66">
                  <c:v>0.2067454008194145</c:v>
                </c:pt>
                <c:pt idx="67">
                  <c:v>0.20048038867337148</c:v>
                </c:pt>
                <c:pt idx="68">
                  <c:v>0.19421537652732845</c:v>
                </c:pt>
                <c:pt idx="69">
                  <c:v>0.18795036438128543</c:v>
                </c:pt>
                <c:pt idx="70">
                  <c:v>0.1816853522352424</c:v>
                </c:pt>
                <c:pt idx="71">
                  <c:v>0.17542034008919938</c:v>
                </c:pt>
                <c:pt idx="72">
                  <c:v>0.16915532794315635</c:v>
                </c:pt>
                <c:pt idx="73">
                  <c:v>0.16289031579711333</c:v>
                </c:pt>
                <c:pt idx="74">
                  <c:v>0.1566253036510703</c:v>
                </c:pt>
                <c:pt idx="75">
                  <c:v>0.15036029150502728</c:v>
                </c:pt>
                <c:pt idx="76">
                  <c:v>0.14409527935898425</c:v>
                </c:pt>
                <c:pt idx="77">
                  <c:v>0.13783026721294123</c:v>
                </c:pt>
                <c:pt idx="78">
                  <c:v>0.1315652550668982</c:v>
                </c:pt>
                <c:pt idx="79">
                  <c:v>0.12530024292085518</c:v>
                </c:pt>
                <c:pt idx="80">
                  <c:v>0.11903523077481215</c:v>
                </c:pt>
                <c:pt idx="81">
                  <c:v>0.11277021862876913</c:v>
                </c:pt>
                <c:pt idx="82">
                  <c:v>0.1065052064827261</c:v>
                </c:pt>
                <c:pt idx="83">
                  <c:v>0.10024019433668307</c:v>
                </c:pt>
                <c:pt idx="84">
                  <c:v>9.397518219064005E-2</c:v>
                </c:pt>
                <c:pt idx="85">
                  <c:v>8.7710170044597024E-2</c:v>
                </c:pt>
                <c:pt idx="86">
                  <c:v>8.1445157898553999E-2</c:v>
                </c:pt>
                <c:pt idx="87">
                  <c:v>7.5180145752510974E-2</c:v>
                </c:pt>
                <c:pt idx="88">
                  <c:v>6.8915133606467949E-2</c:v>
                </c:pt>
                <c:pt idx="89">
                  <c:v>6.2650121460424923E-2</c:v>
                </c:pt>
                <c:pt idx="90">
                  <c:v>5.6385109314381898E-2</c:v>
                </c:pt>
                <c:pt idx="91">
                  <c:v>5.0120097168338873E-2</c:v>
                </c:pt>
                <c:pt idx="92">
                  <c:v>4.3855085022295848E-2</c:v>
                </c:pt>
                <c:pt idx="93">
                  <c:v>3.7590072876252822E-2</c:v>
                </c:pt>
                <c:pt idx="94">
                  <c:v>3.1325060730209797E-2</c:v>
                </c:pt>
                <c:pt idx="95">
                  <c:v>2.5060048584166772E-2</c:v>
                </c:pt>
                <c:pt idx="96">
                  <c:v>1.8795036438123747E-2</c:v>
                </c:pt>
                <c:pt idx="97">
                  <c:v>1.2530024292080721E-2</c:v>
                </c:pt>
                <c:pt idx="98">
                  <c:v>6.2650121460376962E-3</c:v>
                </c:pt>
                <c:pt idx="99">
                  <c:v>-5.3290705182007514E-15</c:v>
                </c:pt>
              </c:numCache>
            </c:numRef>
          </c:xVal>
          <c:yVal>
            <c:numRef>
              <c:f>Gomos!$AU$11:$AU$110</c:f>
              <c:numCache>
                <c:formatCode>0.000</c:formatCode>
                <c:ptCount val="100"/>
                <c:pt idx="0">
                  <c:v>0.43850699513798558</c:v>
                </c:pt>
                <c:pt idx="1">
                  <c:v>0.4384846240441701</c:v>
                </c:pt>
                <c:pt idx="2">
                  <c:v>0.43841750391355611</c:v>
                </c:pt>
                <c:pt idx="3">
                  <c:v>0.43830561418815139</c:v>
                </c:pt>
                <c:pt idx="4">
                  <c:v>0.43814892056963473</c:v>
                </c:pt>
                <c:pt idx="5">
                  <c:v>0.43794737496672287</c:v>
                </c:pt>
                <c:pt idx="6">
                  <c:v>0.43770091542122064</c:v>
                </c:pt>
                <c:pt idx="7">
                  <c:v>0.43740946601248754</c:v>
                </c:pt>
                <c:pt idx="8">
                  <c:v>0.43707293673997749</c:v>
                </c:pt>
                <c:pt idx="9">
                  <c:v>0.43669122338342342</c:v>
                </c:pt>
                <c:pt idx="10">
                  <c:v>0.43626420734015936</c:v>
                </c:pt>
                <c:pt idx="11">
                  <c:v>0.43579175543898019</c:v>
                </c:pt>
                <c:pt idx="12">
                  <c:v>0.4352737197298524</c:v>
                </c:pt>
                <c:pt idx="13">
                  <c:v>0.43470993724869023</c:v>
                </c:pt>
                <c:pt idx="14">
                  <c:v>0.43410022975631113</c:v>
                </c:pt>
                <c:pt idx="15">
                  <c:v>0.4334444034505785</c:v>
                </c:pt>
                <c:pt idx="16">
                  <c:v>0.43274224865062283</c:v>
                </c:pt>
                <c:pt idx="17">
                  <c:v>0.43199353945191227</c:v>
                </c:pt>
                <c:pt idx="18">
                  <c:v>0.43119803335081219</c:v>
                </c:pt>
                <c:pt idx="19">
                  <c:v>0.43035547083713166</c:v>
                </c:pt>
                <c:pt idx="20">
                  <c:v>0.42946557495300397</c:v>
                </c:pt>
                <c:pt idx="21">
                  <c:v>0.42852805081628331</c:v>
                </c:pt>
                <c:pt idx="22">
                  <c:v>0.42754258510646137</c:v>
                </c:pt>
                <c:pt idx="23">
                  <c:v>0.4265088455109135</c:v>
                </c:pt>
                <c:pt idx="24">
                  <c:v>0.42542648012907308</c:v>
                </c:pt>
                <c:pt idx="25">
                  <c:v>0.4242951168319013</c:v>
                </c:pt>
                <c:pt idx="26">
                  <c:v>0.42311436257376667</c:v>
                </c:pt>
                <c:pt idx="27">
                  <c:v>0.42188380265357039</c:v>
                </c:pt>
                <c:pt idx="28">
                  <c:v>0.42060299992165112</c:v>
                </c:pt>
                <c:pt idx="29">
                  <c:v>0.41927149392866198</c:v>
                </c:pt>
                <c:pt idx="30">
                  <c:v>0.41788880001224665</c:v>
                </c:pt>
                <c:pt idx="31">
                  <c:v>0.41645440831692815</c:v>
                </c:pt>
                <c:pt idx="32">
                  <c:v>0.41496778274217122</c:v>
                </c:pt>
                <c:pt idx="33">
                  <c:v>0.41342835981307424</c:v>
                </c:pt>
                <c:pt idx="34">
                  <c:v>0.4118355474675876</c:v>
                </c:pt>
                <c:pt idx="35">
                  <c:v>0.41018872375353055</c:v>
                </c:pt>
                <c:pt idx="36">
                  <c:v>0.40848723542798338</c:v>
                </c:pt>
                <c:pt idx="37">
                  <c:v>0.40673039645085179</c:v>
                </c:pt>
                <c:pt idx="38">
                  <c:v>0.40491748636353214</c:v>
                </c:pt>
                <c:pt idx="39">
                  <c:v>0.40304774854262526</c:v>
                </c:pt>
                <c:pt idx="40">
                  <c:v>0.40112038831754881</c:v>
                </c:pt>
                <c:pt idx="41">
                  <c:v>0.39913457093966043</c:v>
                </c:pt>
                <c:pt idx="42">
                  <c:v>0.39708941938910486</c:v>
                </c:pt>
                <c:pt idx="43">
                  <c:v>0.39498401200401745</c:v>
                </c:pt>
                <c:pt idx="44">
                  <c:v>0.39281737991492571</c:v>
                </c:pt>
                <c:pt idx="45">
                  <c:v>0.39058850426515135</c:v>
                </c:pt>
                <c:pt idx="46">
                  <c:v>0.3882963131956999</c:v>
                </c:pt>
                <c:pt idx="47">
                  <c:v>0.3859396785704754</c:v>
                </c:pt>
                <c:pt idx="48">
                  <c:v>0.38351741241463144</c:v>
                </c:pt>
                <c:pt idx="49">
                  <c:v>0.38102826303539605</c:v>
                </c:pt>
                <c:pt idx="50">
                  <c:v>0.37847091079071232</c:v>
                </c:pt>
                <c:pt idx="51">
                  <c:v>0.37584396346643034</c:v>
                </c:pt>
                <c:pt idx="52">
                  <c:v>0.37314595121746053</c:v>
                </c:pt>
                <c:pt idx="53">
                  <c:v>0.37037532102211579</c:v>
                </c:pt>
                <c:pt idx="54">
                  <c:v>0.36753043059168716</c:v>
                </c:pt>
                <c:pt idx="55">
                  <c:v>0.36460954166890713</c:v>
                </c:pt>
                <c:pt idx="56">
                  <c:v>0.36161081263913269</c:v>
                </c:pt>
                <c:pt idx="57">
                  <c:v>0.35853229036654582</c:v>
                </c:pt>
                <c:pt idx="58">
                  <c:v>0.35537190115406175</c:v>
                </c:pt>
                <c:pt idx="59">
                  <c:v>0.35212744070953506</c:v>
                </c:pt>
                <c:pt idx="60">
                  <c:v>0.34879656298172712</c:v>
                </c:pt>
                <c:pt idx="61">
                  <c:v>0.34537676770667214</c:v>
                </c:pt>
                <c:pt idx="62">
                  <c:v>0.34186538647774073</c:v>
                </c:pt>
                <c:pt idx="63">
                  <c:v>0.33825956711978644</c:v>
                </c:pt>
                <c:pt idx="64">
                  <c:v>0.3345562561079668</c:v>
                </c:pt>
                <c:pt idx="65">
                  <c:v>0.33075217872346274</c:v>
                </c:pt>
                <c:pt idx="66">
                  <c:v>0.32684381657923295</c:v>
                </c:pt>
                <c:pt idx="67">
                  <c:v>0.32282738207634271</c:v>
                </c:pt>
                <c:pt idx="68">
                  <c:v>0.31869878926170159</c:v>
                </c:pt>
                <c:pt idx="69">
                  <c:v>0.31445362044649422</c:v>
                </c:pt>
                <c:pt idx="70">
                  <c:v>0.31008708780496663</c:v>
                </c:pt>
                <c:pt idx="71">
                  <c:v>0.30559398899724144</c:v>
                </c:pt>
                <c:pt idx="72">
                  <c:v>0.30096865563634861</c:v>
                </c:pt>
                <c:pt idx="73">
                  <c:v>0.29620489313358711</c:v>
                </c:pt>
                <c:pt idx="74">
                  <c:v>0.29129591008703221</c:v>
                </c:pt>
                <c:pt idx="75">
                  <c:v>0.28623423489689137</c:v>
                </c:pt>
                <c:pt idx="76">
                  <c:v>0.28101161665847391</c:v>
                </c:pt>
                <c:pt idx="77">
                  <c:v>0.27561890654204618</c:v>
                </c:pt>
                <c:pt idx="78">
                  <c:v>0.2700459147372557</c:v>
                </c:pt>
                <c:pt idx="79">
                  <c:v>0.26428123649921303</c:v>
                </c:pt>
                <c:pt idx="80">
                  <c:v>0.25831203870754582</c:v>
                </c:pt>
                <c:pt idx="81">
                  <c:v>0.25212379537316221</c:v>
                </c:pt>
                <c:pt idx="82">
                  <c:v>0.2456999562920423</c:v>
                </c:pt>
                <c:pt idx="83">
                  <c:v>0.23902152691102677</c:v>
                </c:pt>
                <c:pt idx="84">
                  <c:v>0.23206652841000086</c:v>
                </c:pt>
                <c:pt idx="85">
                  <c:v>0.22480929332677646</c:v>
                </c:pt>
                <c:pt idx="86">
                  <c:v>0.21721953089057938</c:v>
                </c:pt>
                <c:pt idx="87">
                  <c:v>0.20926106257731253</c:v>
                </c:pt>
                <c:pt idx="88">
                  <c:v>0.20089007316956298</c:v>
                </c:pt>
                <c:pt idx="89">
                  <c:v>0.19205262862450651</c:v>
                </c:pt>
                <c:pt idx="90">
                  <c:v>0.18268104527157905</c:v>
                </c:pt>
                <c:pt idx="91">
                  <c:v>0.17268838385332894</c:v>
                </c:pt>
                <c:pt idx="92">
                  <c:v>0.16195972650834062</c:v>
                </c:pt>
                <c:pt idx="93">
                  <c:v>0.15033758538656292</c:v>
                </c:pt>
                <c:pt idx="94">
                  <c:v>0.13759573985226287</c:v>
                </c:pt>
                <c:pt idx="95">
                  <c:v>0.12338779172813223</c:v>
                </c:pt>
                <c:pt idx="96">
                  <c:v>0.10713201270405642</c:v>
                </c:pt>
                <c:pt idx="97">
                  <c:v>8.7696924808815926E-2</c:v>
                </c:pt>
                <c:pt idx="98">
                  <c:v>6.2169080516346682E-2</c:v>
                </c:pt>
                <c:pt idx="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F50-484C-A94A-99325EA0910C}"/>
            </c:ext>
          </c:extLst>
        </c:ser>
        <c:ser>
          <c:idx val="2"/>
          <c:order val="2"/>
          <c:tx>
            <c:v>Corda esquerda</c:v>
          </c:tx>
          <c:spPr>
            <a:ln w="15875">
              <a:solidFill>
                <a:schemeClr val="tx1"/>
              </a:solidFill>
              <a:headEnd type="triangle" w="med" len="lg"/>
              <a:tailEnd type="triangle" w="med" len="lg"/>
            </a:ln>
          </c:spPr>
          <c:marker>
            <c:symbol val="none"/>
          </c:marker>
          <c:dLbls>
            <c:dLbl>
              <c:idx val="1"/>
              <c:tx>
                <c:rich>
                  <a:bodyPr/>
                  <a:lstStyle/>
                  <a:p>
                    <a:fld id="{A82B86CD-A232-4095-AFBD-A21754E6CA05}" type="CELLREF">
                      <a:rPr lang="en-US">
                        <a:solidFill>
                          <a:schemeClr val="tx1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pt-BR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071975788025888"/>
                      <c:h val="8.2934567589914437E-2"/>
                    </c:manualLayout>
                  </c15:layout>
                  <c15:dlblFieldTable>
                    <c15:dlblFTEntry>
                      <c15:txfldGUID>{A82B86CD-A232-4095-AFBD-A21754E6CA05}</c15:txfldGUID>
                      <c15:f>Cordins!$AO$11</c15:f>
                      <c15:dlblFieldTableCache>
                        <c:ptCount val="1"/>
                        <c:pt idx="0">
                          <c:v>3,721 m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5F50-484C-A94A-99325EA0910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Cordins!$AP$8:$AP$10</c:f>
              <c:numCache>
                <c:formatCode>0.000</c:formatCode>
                <c:ptCount val="3"/>
                <c:pt idx="0">
                  <c:v>0</c:v>
                </c:pt>
                <c:pt idx="1">
                  <c:v>0.31011810122912703</c:v>
                </c:pt>
                <c:pt idx="2">
                  <c:v>0.62023620245825406</c:v>
                </c:pt>
              </c:numCache>
            </c:numRef>
          </c:xVal>
          <c:yVal>
            <c:numRef>
              <c:f>Cordins!$AQ$8:$AQ$10</c:f>
              <c:numCache>
                <c:formatCode>0.000</c:formatCode>
                <c:ptCount val="3"/>
                <c:pt idx="0">
                  <c:v>0</c:v>
                </c:pt>
                <c:pt idx="1">
                  <c:v>-1.8346834290548788</c:v>
                </c:pt>
                <c:pt idx="2">
                  <c:v>-3.6693668581097576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5F50-484C-A94A-99325EA0910C}"/>
            </c:ext>
          </c:extLst>
        </c:ser>
        <c:ser>
          <c:idx val="4"/>
          <c:order val="3"/>
          <c:tx>
            <c:v>Corda direita</c:v>
          </c:tx>
          <c:spPr>
            <a:ln w="12700">
              <a:solidFill>
                <a:schemeClr val="tx1"/>
              </a:solidFill>
            </a:ln>
          </c:spPr>
          <c:marker>
            <c:symbol val="none"/>
          </c:marker>
          <c:dPt>
            <c:idx val="1"/>
            <c:bubble3D val="0"/>
            <c:spPr>
              <a:ln w="12700" cap="sq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F-5F50-484C-A94A-99325EA0910C}"/>
              </c:ext>
            </c:extLst>
          </c:dPt>
          <c:dPt>
            <c:idx val="2"/>
            <c:bubble3D val="0"/>
            <c:spPr>
              <a:ln w="12700" cap="sq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10-5F50-484C-A94A-99325EA0910C}"/>
              </c:ext>
            </c:extLst>
          </c:dPt>
          <c:xVal>
            <c:numRef>
              <c:f>Cordins!$AR$8:$AR$10</c:f>
              <c:numCache>
                <c:formatCode>0.000</c:formatCode>
                <c:ptCount val="3"/>
                <c:pt idx="0">
                  <c:v>1.2404724049165081</c:v>
                </c:pt>
                <c:pt idx="1">
                  <c:v>0.93035430368738115</c:v>
                </c:pt>
                <c:pt idx="2">
                  <c:v>0.62023620245825406</c:v>
                </c:pt>
              </c:numCache>
            </c:numRef>
          </c:xVal>
          <c:yVal>
            <c:numRef>
              <c:f>Cordins!$AQ$8:$AQ$10</c:f>
              <c:numCache>
                <c:formatCode>0.000</c:formatCode>
                <c:ptCount val="3"/>
                <c:pt idx="0">
                  <c:v>0</c:v>
                </c:pt>
                <c:pt idx="1">
                  <c:v>-1.8346834290548788</c:v>
                </c:pt>
                <c:pt idx="2">
                  <c:v>-3.6693668581097576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5F50-484C-A94A-99325EA0910C}"/>
            </c:ext>
          </c:extLst>
        </c:ser>
        <c:ser>
          <c:idx val="3"/>
          <c:order val="4"/>
          <c:tx>
            <c:v>Diâmetro</c:v>
          </c:tx>
          <c:spPr>
            <a:ln w="15875">
              <a:solidFill>
                <a:srgbClr val="230086"/>
              </a:solidFill>
              <a:headEnd type="none" w="med" len="lg"/>
              <a:tailEnd type="none" w="med" len="lg"/>
            </a:ln>
          </c:spPr>
          <c:marker>
            <c:symbol val="none"/>
          </c:marker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9-5F50-484C-A94A-99325EA0910C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B-5F50-484C-A94A-99325EA0910C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F50-484C-A94A-99325EA0910C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F50-484C-A94A-99325EA0910C}"/>
                </c:ext>
              </c:extLst>
            </c:dLbl>
            <c:dLbl>
              <c:idx val="2"/>
              <c:layout>
                <c:manualLayout>
                  <c:x val="-0.20863340868733729"/>
                  <c:y val="4.7846865917258327E-2"/>
                </c:manualLayout>
              </c:layout>
              <c:tx>
                <c:rich>
                  <a:bodyPr/>
                  <a:lstStyle/>
                  <a:p>
                    <a:fld id="{D4D75E3E-B9AF-4F01-8724-A6CD6AA2C15A}" type="CELLREF">
                      <a:rPr lang="el-GR">
                        <a:solidFill>
                          <a:schemeClr val="tx1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/>
                      <a:t>[CELLREF]</a:t>
                    </a:fld>
                    <a:endParaRPr lang="pt-BR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352532868872704"/>
                      <c:h val="4.850089866711943E-2"/>
                    </c:manualLayout>
                  </c15:layout>
                  <c15:dlblFieldTable>
                    <c15:dlblFTEntry>
                      <c15:txfldGUID>{D4D75E3E-B9AF-4F01-8724-A6CD6AA2C15A}</c15:txfldGUID>
                      <c15:f>Cordins!$AO$12</c15:f>
                      <c15:dlblFieldTableCache>
                        <c:ptCount val="1"/>
                        <c:pt idx="0">
                          <c:v>θ: 80,4 °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B-5F50-484C-A94A-99325EA0910C}"/>
                </c:ext>
              </c:extLst>
            </c:dLbl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Gomos!$AP$8:$AP$10</c:f>
              <c:numCache>
                <c:formatCode>0.000</c:formatCode>
                <c:ptCount val="3"/>
                <c:pt idx="0">
                  <c:v>0</c:v>
                </c:pt>
                <c:pt idx="1">
                  <c:v>0.62023620245825406</c:v>
                </c:pt>
                <c:pt idx="2">
                  <c:v>1.2404724049165081</c:v>
                </c:pt>
              </c:numCache>
            </c:numRef>
          </c:xVal>
          <c:yVal>
            <c:numRef>
              <c:f>Gomos!$AQ$8:$AQ$10</c:f>
              <c:numCache>
                <c:formatCode>0.000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5F50-484C-A94A-99325EA09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470656"/>
        <c:axId val="152472576"/>
      </c:scatterChart>
      <c:valAx>
        <c:axId val="152470656"/>
        <c:scaling>
          <c:orientation val="minMax"/>
        </c:scaling>
        <c:delete val="0"/>
        <c:axPos val="b"/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  <a:alpha val="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52472576"/>
        <c:crosses val="autoZero"/>
        <c:crossBetween val="midCat"/>
        <c:majorUnit val="0.1"/>
      </c:valAx>
      <c:valAx>
        <c:axId val="152472576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  <a:alpha val="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152470656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317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6349</xdr:colOff>
      <xdr:row>2</xdr:row>
      <xdr:rowOff>9524</xdr:rowOff>
    </xdr:from>
    <xdr:to>
      <xdr:col>19</xdr:col>
      <xdr:colOff>634999</xdr:colOff>
      <xdr:row>18</xdr:row>
      <xdr:rowOff>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F540758C-B082-C774-93A5-FE00FA597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4524" y="523874"/>
          <a:ext cx="5381625" cy="312420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oneCellAnchor>
    <xdr:from>
      <xdr:col>14</xdr:col>
      <xdr:colOff>85725</xdr:colOff>
      <xdr:row>25</xdr:row>
      <xdr:rowOff>152400</xdr:rowOff>
    </xdr:from>
    <xdr:ext cx="1149610" cy="17389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CaixaDeTexto 8">
              <a:extLst>
                <a:ext uri="{FF2B5EF4-FFF2-40B4-BE49-F238E27FC236}">
                  <a16:creationId xmlns:a16="http://schemas.microsoft.com/office/drawing/2014/main" id="{4F6CE653-1FAE-89DB-7BC7-9A62095EE90E}"/>
                </a:ext>
              </a:extLst>
            </xdr:cNvPr>
            <xdr:cNvSpPr txBox="1"/>
          </xdr:nvSpPr>
          <xdr:spPr>
            <a:xfrm>
              <a:off x="8458200" y="5248275"/>
              <a:ext cx="1149610" cy="1738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pt-BR" sz="1050" i="1">
                        <a:solidFill>
                          <a:schemeClr val="tx1">
                            <a:lumMod val="50000"/>
                            <a:lumOff val="50000"/>
                          </a:schemeClr>
                        </a:solidFill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𝜌</m:t>
                    </m:r>
                    <m:r>
                      <a:rPr lang="pt-BR" sz="1050" b="0" i="1">
                        <a:solidFill>
                          <a:schemeClr val="tx1">
                            <a:lumMod val="50000"/>
                            <a:lumOff val="50000"/>
                          </a:schemeClr>
                        </a:solidFill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=1,225</m:t>
                    </m:r>
                    <m:sSup>
                      <m:sSupPr>
                        <m:ctrlP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 </m:t>
                        </m:r>
                        <m: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𝑒</m:t>
                        </m:r>
                      </m:e>
                      <m:sup>
                        <m: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−</m:t>
                        </m:r>
                        <m: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h</m:t>
                        </m:r>
                        <m: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/8,882</m:t>
                        </m:r>
                      </m:sup>
                    </m:sSup>
                  </m:oMath>
                </m:oMathPara>
              </a14:m>
              <a:endParaRPr lang="pt-BR" sz="1050">
                <a:solidFill>
                  <a:schemeClr val="tx1">
                    <a:lumMod val="50000"/>
                    <a:lumOff val="50000"/>
                  </a:schemeClr>
                </a:solidFill>
              </a:endParaRPr>
            </a:p>
          </xdr:txBody>
        </xdr:sp>
      </mc:Choice>
      <mc:Fallback xmlns="">
        <xdr:sp macro="" textlink="">
          <xdr:nvSpPr>
            <xdr:cNvPr id="9" name="CaixaDeTexto 8">
              <a:extLst>
                <a:ext uri="{FF2B5EF4-FFF2-40B4-BE49-F238E27FC236}">
                  <a16:creationId xmlns:a16="http://schemas.microsoft.com/office/drawing/2014/main" id="{4F6CE653-1FAE-89DB-7BC7-9A62095EE90E}"/>
                </a:ext>
              </a:extLst>
            </xdr:cNvPr>
            <xdr:cNvSpPr txBox="1"/>
          </xdr:nvSpPr>
          <xdr:spPr>
            <a:xfrm>
              <a:off x="8458200" y="5248275"/>
              <a:ext cx="1149610" cy="1738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pt-BR" sz="1050" i="0">
                  <a:solidFill>
                    <a:schemeClr val="tx1">
                      <a:lumMod val="50000"/>
                      <a:lumOff val="50000"/>
                    </a:schemeClr>
                  </a:solidFill>
                  <a:latin typeface="Cambria Math" panose="02040503050406030204" pitchFamily="18" charset="0"/>
                  <a:ea typeface="Cambria Math" panose="02040503050406030204" pitchFamily="18" charset="0"/>
                </a:rPr>
                <a:t>𝜌</a:t>
              </a:r>
              <a:r>
                <a:rPr lang="pt-BR" sz="1050" b="0" i="0">
                  <a:solidFill>
                    <a:schemeClr val="tx1">
                      <a:lumMod val="50000"/>
                      <a:lumOff val="50000"/>
                    </a:schemeClr>
                  </a:solidFill>
                  <a:latin typeface="Cambria Math" panose="02040503050406030204" pitchFamily="18" charset="0"/>
                  <a:ea typeface="Cambria Math" panose="02040503050406030204" pitchFamily="18" charset="0"/>
                </a:rPr>
                <a:t>=1,225〖 𝑒〗^(−ℎ/8,882)</a:t>
              </a:r>
              <a:endParaRPr lang="pt-BR" sz="1050">
                <a:solidFill>
                  <a:schemeClr val="tx1">
                    <a:lumMod val="50000"/>
                    <a:lumOff val="50000"/>
                  </a:schemeClr>
                </a:solidFill>
              </a:endParaRPr>
            </a:p>
          </xdr:txBody>
        </xdr:sp>
      </mc:Fallback>
    </mc:AlternateContent>
    <xdr:clientData/>
  </xdr:oneCellAnchor>
  <xdr:oneCellAnchor>
    <xdr:from>
      <xdr:col>14</xdr:col>
      <xdr:colOff>76200</xdr:colOff>
      <xdr:row>28</xdr:row>
      <xdr:rowOff>152400</xdr:rowOff>
    </xdr:from>
    <xdr:ext cx="3758337" cy="16735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5" name="CaixaDeTexto 14">
              <a:extLst>
                <a:ext uri="{FF2B5EF4-FFF2-40B4-BE49-F238E27FC236}">
                  <a16:creationId xmlns:a16="http://schemas.microsoft.com/office/drawing/2014/main" id="{FE3990CD-CEE2-47A7-A130-E6ED22BEFAFF}"/>
                </a:ext>
              </a:extLst>
            </xdr:cNvPr>
            <xdr:cNvSpPr txBox="1"/>
          </xdr:nvSpPr>
          <xdr:spPr>
            <a:xfrm>
              <a:off x="8448675" y="5819775"/>
              <a:ext cx="3758337" cy="16735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acc>
                      <m:accPr>
                        <m:chr m:val="⃗"/>
                        <m:ctrlPr>
                          <a:rPr lang="pt-BR" sz="105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accPr>
                      <m:e>
                        <m: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𝑔</m:t>
                        </m:r>
                      </m:e>
                    </m:acc>
                    <m:r>
                      <a:rPr lang="pt-BR" sz="1050" b="0" i="1">
                        <a:solidFill>
                          <a:schemeClr val="tx1">
                            <a:lumMod val="50000"/>
                            <a:lumOff val="50000"/>
                          </a:schemeClr>
                        </a:solidFill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=9,78∙[1+0,99∙</m:t>
                    </m:r>
                    <m:func>
                      <m:funcPr>
                        <m:ctrlP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funcPr>
                      <m:fName>
                        <m:r>
                          <m:rPr>
                            <m:sty m:val="p"/>
                          </m:rPr>
                          <a:rPr lang="pt-BR" sz="1050" b="0" i="0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sin</m:t>
                        </m:r>
                      </m:fName>
                      <m:e>
                        <m:r>
                          <a:rPr lang="pt-BR" sz="1050" b="0" i="1">
                            <a:solidFill>
                              <a:schemeClr val="tx1">
                                <a:lumMod val="50000"/>
                                <a:lumOff val="50000"/>
                              </a:schemeClr>
                            </a:solidFill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(0,0000058)∙</m:t>
                        </m:r>
                        <m:func>
                          <m:funcPr>
                            <m:ctrlPr>
                              <a:rPr lang="pt-BR" sz="1050" b="0" i="1">
                                <a:solidFill>
                                  <a:schemeClr val="tx1">
                                    <a:lumMod val="50000"/>
                                    <a:lumOff val="50000"/>
                                  </a:schemeClr>
                                </a:solidFill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uncPr>
                          <m:fName>
                            <m:sSup>
                              <m:sSupPr>
                                <m:ctrlPr>
                                  <a:rPr lang="pt-BR" sz="1050" b="0" i="1">
                                    <a:solidFill>
                                      <a:schemeClr val="tx1">
                                        <a:lumMod val="50000"/>
                                        <a:lumOff val="50000"/>
                                      </a:schemeClr>
                                    </a:solidFill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m:rPr>
                                    <m:sty m:val="p"/>
                                  </m:rPr>
                                  <a:rPr lang="pt-BR" sz="1050" b="0" i="0">
                                    <a:solidFill>
                                      <a:schemeClr val="tx1">
                                        <a:lumMod val="50000"/>
                                        <a:lumOff val="50000"/>
                                      </a:schemeClr>
                                    </a:solidFill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sin</m:t>
                                </m:r>
                              </m:e>
                              <m:sup>
                                <m:r>
                                  <a:rPr lang="pt-BR" sz="1050" b="0" i="1">
                                    <a:solidFill>
                                      <a:schemeClr val="tx1">
                                        <a:lumMod val="50000"/>
                                        <a:lumOff val="50000"/>
                                      </a:schemeClr>
                                    </a:solidFill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2</m:t>
                                </m:r>
                              </m:sup>
                            </m:sSup>
                          </m:fName>
                          <m:e>
                            <m:r>
                              <a:rPr lang="pt-BR" sz="1050" b="0" i="1">
                                <a:solidFill>
                                  <a:schemeClr val="tx1">
                                    <a:lumMod val="50000"/>
                                    <a:lumOff val="50000"/>
                                  </a:schemeClr>
                                </a:solidFill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(2</m:t>
                            </m:r>
                            <m:r>
                              <a:rPr lang="el-GR" sz="1050" b="0" i="1">
                                <a:solidFill>
                                  <a:schemeClr val="tx1">
                                    <a:lumMod val="50000"/>
                                    <a:lumOff val="50000"/>
                                  </a:schemeClr>
                                </a:solidFill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𝜆</m:t>
                            </m:r>
                            <m:r>
                              <a:rPr lang="pt-BR" sz="1050" b="0" i="1">
                                <a:solidFill>
                                  <a:schemeClr val="tx1">
                                    <a:lumMod val="50000"/>
                                    <a:lumOff val="50000"/>
                                  </a:schemeClr>
                                </a:solidFill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)]−3,086∙</m:t>
                            </m:r>
                            <m:sSup>
                              <m:sSupPr>
                                <m:ctrlPr>
                                  <a:rPr lang="pt-BR" sz="1050" b="0" i="1">
                                    <a:solidFill>
                                      <a:schemeClr val="tx1">
                                        <a:lumMod val="50000"/>
                                        <a:lumOff val="50000"/>
                                      </a:schemeClr>
                                    </a:solidFill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a:rPr lang="pt-BR" sz="1050" b="0" i="1">
                                    <a:solidFill>
                                      <a:schemeClr val="tx1">
                                        <a:lumMod val="50000"/>
                                        <a:lumOff val="50000"/>
                                      </a:schemeClr>
                                    </a:solidFill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10</m:t>
                                </m:r>
                              </m:e>
                              <m:sup>
                                <m:r>
                                  <a:rPr lang="pt-BR" sz="1050" b="0" i="1">
                                    <a:solidFill>
                                      <a:schemeClr val="tx1">
                                        <a:lumMod val="50000"/>
                                        <a:lumOff val="50000"/>
                                      </a:schemeClr>
                                    </a:solidFill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−6</m:t>
                                </m:r>
                              </m:sup>
                            </m:sSup>
                            <m:r>
                              <a:rPr lang="pt-BR" sz="1050" b="0" i="1">
                                <a:solidFill>
                                  <a:schemeClr val="tx1">
                                    <a:lumMod val="50000"/>
                                    <a:lumOff val="50000"/>
                                  </a:schemeClr>
                                </a:solidFill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h</m:t>
                            </m:r>
                          </m:e>
                        </m:func>
                      </m:e>
                    </m:func>
                  </m:oMath>
                </m:oMathPara>
              </a14:m>
              <a:endParaRPr lang="pt-BR" sz="1050">
                <a:solidFill>
                  <a:schemeClr val="tx1">
                    <a:lumMod val="50000"/>
                    <a:lumOff val="50000"/>
                  </a:schemeClr>
                </a:solidFill>
              </a:endParaRPr>
            </a:p>
          </xdr:txBody>
        </xdr:sp>
      </mc:Choice>
      <mc:Fallback xmlns="">
        <xdr:sp macro="" textlink="">
          <xdr:nvSpPr>
            <xdr:cNvPr id="15" name="CaixaDeTexto 14">
              <a:extLst>
                <a:ext uri="{FF2B5EF4-FFF2-40B4-BE49-F238E27FC236}">
                  <a16:creationId xmlns:a16="http://schemas.microsoft.com/office/drawing/2014/main" id="{FE3990CD-CEE2-47A7-A130-E6ED22BEFAFF}"/>
                </a:ext>
              </a:extLst>
            </xdr:cNvPr>
            <xdr:cNvSpPr txBox="1"/>
          </xdr:nvSpPr>
          <xdr:spPr>
            <a:xfrm>
              <a:off x="8448675" y="5819775"/>
              <a:ext cx="3758337" cy="16735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pt-BR" sz="1050" b="0" i="0">
                  <a:solidFill>
                    <a:schemeClr val="tx1">
                      <a:lumMod val="50000"/>
                      <a:lumOff val="50000"/>
                    </a:schemeClr>
                  </a:solidFill>
                  <a:latin typeface="Cambria Math" panose="02040503050406030204" pitchFamily="18" charset="0"/>
                  <a:ea typeface="Cambria Math" panose="02040503050406030204" pitchFamily="18" charset="0"/>
                </a:rPr>
                <a:t>𝑔 ⃗=9,78∙[1+0,99∙sin⁡〖(0,0000058)∙sin^2⁡〖(2</a:t>
              </a:r>
              <a:r>
                <a:rPr lang="el-GR" sz="1050" b="0" i="0">
                  <a:solidFill>
                    <a:schemeClr val="tx1">
                      <a:lumMod val="50000"/>
                      <a:lumOff val="50000"/>
                    </a:schemeClr>
                  </a:solidFill>
                  <a:latin typeface="Cambria Math" panose="02040503050406030204" pitchFamily="18" charset="0"/>
                  <a:ea typeface="Cambria Math" panose="02040503050406030204" pitchFamily="18" charset="0"/>
                </a:rPr>
                <a:t>𝜆</a:t>
              </a:r>
              <a:r>
                <a:rPr lang="pt-BR" sz="1050" b="0" i="0">
                  <a:solidFill>
                    <a:schemeClr val="tx1">
                      <a:lumMod val="50000"/>
                      <a:lumOff val="50000"/>
                    </a:schemeClr>
                  </a:solidFill>
                  <a:latin typeface="Cambria Math" panose="02040503050406030204" pitchFamily="18" charset="0"/>
                  <a:ea typeface="Cambria Math" panose="02040503050406030204" pitchFamily="18" charset="0"/>
                </a:rPr>
                <a:t>)]−3,086∙10^(−6) ℎ〗 〗</a:t>
              </a:r>
              <a:endParaRPr lang="pt-BR" sz="1050">
                <a:solidFill>
                  <a:schemeClr val="tx1">
                    <a:lumMod val="50000"/>
                    <a:lumOff val="50000"/>
                  </a:schemeClr>
                </a:solidFill>
              </a:endParaRP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216219</xdr:colOff>
      <xdr:row>35</xdr:row>
      <xdr:rowOff>11430</xdr:rowOff>
    </xdr:from>
    <xdr:to>
      <xdr:col>20</xdr:col>
      <xdr:colOff>161926</xdr:colOff>
      <xdr:row>56</xdr:row>
      <xdr:rowOff>180975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1517489-7D1B-4330-9D57-13B2D3B7E7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42</xdr:col>
      <xdr:colOff>447675</xdr:colOff>
      <xdr:row>55</xdr:row>
      <xdr:rowOff>157161</xdr:rowOff>
    </xdr:from>
    <xdr:to>
      <xdr:col>57</xdr:col>
      <xdr:colOff>219075</xdr:colOff>
      <xdr:row>74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B21DBA6-E682-866A-CBA3-8B8448C857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20</xdr:col>
      <xdr:colOff>161925</xdr:colOff>
      <xdr:row>10</xdr:row>
      <xdr:rowOff>180975</xdr:rowOff>
    </xdr:from>
    <xdr:ext cx="65" cy="172227"/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63550770-A197-4C8C-B837-239C009759BA}"/>
            </a:ext>
          </a:extLst>
        </xdr:cNvPr>
        <xdr:cNvSpPr txBox="1"/>
      </xdr:nvSpPr>
      <xdr:spPr>
        <a:xfrm>
          <a:off x="12420600" y="2295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17</xdr:col>
      <xdr:colOff>104775</xdr:colOff>
      <xdr:row>3</xdr:row>
      <xdr:rowOff>47625</xdr:rowOff>
    </xdr:from>
    <xdr:ext cx="2871876" cy="50013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CaixaDeTexto 8">
              <a:extLst>
                <a:ext uri="{FF2B5EF4-FFF2-40B4-BE49-F238E27FC236}">
                  <a16:creationId xmlns:a16="http://schemas.microsoft.com/office/drawing/2014/main" id="{A7F72F3A-2090-4E8C-B8B4-38C1CA2C09E1}"/>
                </a:ext>
              </a:extLst>
            </xdr:cNvPr>
            <xdr:cNvSpPr txBox="1"/>
          </xdr:nvSpPr>
          <xdr:spPr>
            <a:xfrm>
              <a:off x="9286875" y="762000"/>
              <a:ext cx="2871876" cy="50013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pt-B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sSub>
                          <m:sSubPr>
                            <m:ctrlPr>
                              <a:rPr lang="pt-BR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𝐴</m:t>
                            </m:r>
                          </m:e>
                          <m:sub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𝑟</m:t>
                            </m:r>
                          </m:sub>
                        </m:sSub>
                        <m:r>
                          <a:rPr lang="pt-B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=</m:t>
                        </m:r>
                        <m:f>
                          <m:fPr>
                            <m:ctrlP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2 </m:t>
                            </m:r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𝑚</m:t>
                            </m:r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 </m:t>
                            </m:r>
                            <m:acc>
                              <m:accPr>
                                <m:chr m:val="⃗"/>
                                <m:ctrlP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accPr>
                              <m:e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𝑔</m:t>
                                </m:r>
                              </m:e>
                            </m:acc>
                          </m:num>
                          <m:den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𝜌</m:t>
                            </m:r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 </m:t>
                            </m:r>
                            <m:sSub>
                              <m:sSubPr>
                                <m:ctrlP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𝐶</m:t>
                                </m:r>
                              </m:e>
                              <m:sub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𝑑</m:t>
                                </m:r>
                              </m:sub>
                            </m:sSub>
                            <m: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 </m:t>
                            </m:r>
                            <m:sSup>
                              <m:sSupPr>
                                <m:ctrlP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pPr>
                              <m:e>
                                <m:sSub>
                                  <m:sSubPr>
                                    <m:ctrlPr>
                                      <a:rPr lang="pt-BR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pt-BR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𝑉</m:t>
                                    </m:r>
                                  </m:e>
                                  <m:sub>
                                    <m:r>
                                      <a:rPr lang="pt-BR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𝑡</m:t>
                                    </m:r>
                                  </m:sub>
                                </m:sSub>
                              </m:e>
                              <m:sup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2</m:t>
                                </m:r>
                              </m:sup>
                            </m:sSup>
                          </m:den>
                        </m:f>
                        <m:r>
                          <m:rPr>
                            <m:nor/>
                          </m:rPr>
                          <a:rPr lang="pt-BR">
                            <a:effectLst/>
                          </a:rPr>
                          <m:t> </m:t>
                        </m:r>
                        <m:r>
                          <a:rPr lang="pt-BR" i="1"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→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𝐴</m:t>
                        </m:r>
                      </m:e>
                      <m:sub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𝑟</m:t>
                        </m:r>
                      </m:sub>
                    </m:sSub>
                    <m:r>
                      <a:rPr lang="pt-BR" sz="1100" b="0" i="1">
                        <a:latin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pt-B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pt-B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𝐴</m:t>
                        </m:r>
                      </m:e>
                      <m:sub>
                        <m:r>
                          <a:rPr lang="pt-B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𝑝</m:t>
                        </m:r>
                      </m:sub>
                    </m:sSub>
                    <m:r>
                      <a:rPr lang="pt-BR" sz="11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f>
                      <m:fPr>
                        <m:ctrlPr>
                          <a:rPr lang="pt-BR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𝜋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 </m:t>
                        </m:r>
                        <m:sSup>
                          <m:sSupPr>
                            <m:ctrlP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𝑑</m:t>
                            </m:r>
                          </m:e>
                          <m:sup>
                            <m: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</m:num>
                      <m:den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4</m:t>
                        </m:r>
                      </m:den>
                    </m:f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→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𝑑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</m:t>
                    </m:r>
                    <m:rad>
                      <m:radPr>
                        <m:degHide m:val="on"/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4 </m:t>
                            </m:r>
                            <m:sSub>
                              <m:sSubPr>
                                <m:ctrlPr>
                                  <a:rPr lang="pt-BR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𝐴</m:t>
                                </m:r>
                              </m:e>
                              <m:sub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𝑝</m:t>
                                </m:r>
                              </m:sub>
                            </m:sSub>
                          </m:num>
                          <m:den>
                            <m: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𝜋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pt-BR" sz="1100"/>
            </a:p>
          </xdr:txBody>
        </xdr:sp>
      </mc:Choice>
      <mc:Fallback xmlns="">
        <xdr:sp macro="" textlink="">
          <xdr:nvSpPr>
            <xdr:cNvPr id="9" name="CaixaDeTexto 8">
              <a:extLst>
                <a:ext uri="{FF2B5EF4-FFF2-40B4-BE49-F238E27FC236}">
                  <a16:creationId xmlns:a16="http://schemas.microsoft.com/office/drawing/2014/main" id="{A7F72F3A-2090-4E8C-B8B4-38C1CA2C09E1}"/>
                </a:ext>
              </a:extLst>
            </xdr:cNvPr>
            <xdr:cNvSpPr txBox="1"/>
          </xdr:nvSpPr>
          <xdr:spPr>
            <a:xfrm>
              <a:off x="9286875" y="762000"/>
              <a:ext cx="2871876" cy="50013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pt-BR" sz="1100" i="0">
                  <a:latin typeface="Cambria Math" panose="02040503050406030204" pitchFamily="18" charset="0"/>
                </a:rPr>
                <a:t>〖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𝐴_𝑟=(2 𝑚 𝑔 ⃗)/(𝜌 𝐶_𝑑  〖𝑉_𝑡〗^2 ) "</a:t>
              </a:r>
              <a:r>
                <a:rPr lang="pt-BR" i="0">
                  <a:effectLst/>
                </a:rPr>
                <a:t> </a:t>
              </a:r>
              <a:r>
                <a:rPr lang="pt-BR" i="0">
                  <a:effectLst/>
                  <a:latin typeface="Cambria Math" panose="02040503050406030204" pitchFamily="18" charset="0"/>
                  <a:ea typeface="Cambria Math" panose="02040503050406030204" pitchFamily="18" charset="0"/>
                </a:rPr>
                <a:t>" →</a:t>
              </a:r>
              <a:r>
                <a:rPr lang="pt-BR" sz="1100" b="0" i="0">
                  <a:latin typeface="Cambria Math" panose="02040503050406030204" pitchFamily="18" charset="0"/>
                </a:rPr>
                <a:t>𝐴〗_𝑟=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𝐴_𝑝=</a:t>
              </a:r>
              <a:r>
                <a:rPr lang="pt-BR" sz="1100" b="0" i="0">
                  <a:latin typeface="Cambria Math" panose="02040503050406030204" pitchFamily="18" charset="0"/>
                </a:rPr>
                <a:t>(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 𝑑^2)/</a:t>
              </a:r>
              <a:r>
                <a:rPr lang="pt-BR" sz="1100" b="0" i="0">
                  <a:latin typeface="Cambria Math" panose="02040503050406030204" pitchFamily="18" charset="0"/>
                </a:rPr>
                <a:t>4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→𝑑=√((4 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𝐴_𝑝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)/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𝜋)</a:t>
              </a:r>
              <a:endParaRPr lang="pt-BR" sz="1100"/>
            </a:p>
          </xdr:txBody>
        </xdr:sp>
      </mc:Fallback>
    </mc:AlternateContent>
    <xdr:clientData/>
  </xdr:oneCellAnchor>
  <xdr:twoCellAnchor>
    <xdr:from>
      <xdr:col>11</xdr:col>
      <xdr:colOff>171450</xdr:colOff>
      <xdr:row>21</xdr:row>
      <xdr:rowOff>0</xdr:rowOff>
    </xdr:from>
    <xdr:to>
      <xdr:col>20</xdr:col>
      <xdr:colOff>495300</xdr:colOff>
      <xdr:row>34</xdr:row>
      <xdr:rowOff>11431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E5B670F9-716D-4D30-8511-F3BE0DE6BA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1171577</xdr:colOff>
      <xdr:row>10</xdr:row>
      <xdr:rowOff>9527</xdr:rowOff>
    </xdr:from>
    <xdr:to>
      <xdr:col>20</xdr:col>
      <xdr:colOff>152400</xdr:colOff>
      <xdr:row>28</xdr:row>
      <xdr:rowOff>28575</xdr:rowOff>
    </xdr:to>
    <xdr:graphicFrame macro="">
      <xdr:nvGraphicFramePr>
        <xdr:cNvPr id="5" name="Chart 1">
          <a:extLst>
            <a:ext uri="{FF2B5EF4-FFF2-40B4-BE49-F238E27FC236}">
              <a16:creationId xmlns:a16="http://schemas.microsoft.com/office/drawing/2014/main" id="{F512BAD4-C905-4F91-BE7D-0966D58D7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10</xdr:row>
      <xdr:rowOff>9525</xdr:rowOff>
    </xdr:from>
    <xdr:to>
      <xdr:col>17</xdr:col>
      <xdr:colOff>990600</xdr:colOff>
      <xdr:row>24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A4229599-2E2C-44EC-894F-8267CE85AF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17</xdr:col>
      <xdr:colOff>0</xdr:colOff>
      <xdr:row>3</xdr:row>
      <xdr:rowOff>0</xdr:rowOff>
    </xdr:from>
    <xdr:ext cx="3077765" cy="60721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CaixaDeTexto 1">
              <a:extLst>
                <a:ext uri="{FF2B5EF4-FFF2-40B4-BE49-F238E27FC236}">
                  <a16:creationId xmlns:a16="http://schemas.microsoft.com/office/drawing/2014/main" id="{D91DAC29-1424-4D57-8C33-509A3B4EC2AA}"/>
                </a:ext>
              </a:extLst>
            </xdr:cNvPr>
            <xdr:cNvSpPr txBox="1"/>
          </xdr:nvSpPr>
          <xdr:spPr>
            <a:xfrm>
              <a:off x="9167813" y="720328"/>
              <a:ext cx="3077765" cy="607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ctr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𝐿𝑖𝑛h𝑎</m:t>
                        </m:r>
                      </m:e>
                      <m:sub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𝐺𝑜𝑚𝑜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 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𝑐𝑎𝑙𝑐</m:t>
                        </m:r>
                      </m:sub>
                    </m:sSub>
                    <m:r>
                      <a:rPr lang="pt-BR" sz="1100" b="0" i="0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𝐿𝑖𝑛h𝑎</m:t>
                        </m:r>
                      </m:e>
                      <m:sub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𝐺𝑜𝑚𝑜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 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𝑒𝑠𝑐</m:t>
                        </m:r>
                      </m:sub>
                    </m:sSub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∙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𝐹𝑎𝑡𝑜𝑟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 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𝑑𝑒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 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𝐸𝑠𝑐𝑎𝑙𝑎</m:t>
                    </m:r>
                  </m:oMath>
                </m:oMathPara>
              </a14:m>
              <a:endParaRPr lang="pt-BR" sz="1100">
                <a:latin typeface="Cambria Math" panose="02040503050406030204" pitchFamily="18" charset="0"/>
                <a:ea typeface="Cambria Math" panose="02040503050406030204" pitchFamily="18" charset="0"/>
              </a:endParaRPr>
            </a:p>
          </xdr:txBody>
        </xdr:sp>
      </mc:Choice>
      <mc:Fallback xmlns="">
        <xdr:sp macro="" textlink="">
          <xdr:nvSpPr>
            <xdr:cNvPr id="2" name="CaixaDeTexto 1">
              <a:extLst>
                <a:ext uri="{FF2B5EF4-FFF2-40B4-BE49-F238E27FC236}">
                  <a16:creationId xmlns:a16="http://schemas.microsoft.com/office/drawing/2014/main" id="{D91DAC29-1424-4D57-8C33-509A3B4EC2AA}"/>
                </a:ext>
              </a:extLst>
            </xdr:cNvPr>
            <xdr:cNvSpPr txBox="1"/>
          </xdr:nvSpPr>
          <xdr:spPr>
            <a:xfrm>
              <a:off x="9167813" y="720328"/>
              <a:ext cx="3077765" cy="607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ctr">
              <a:noAutofit/>
            </a:bodyPr>
            <a:lstStyle/>
            <a:p>
              <a:pPr/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〖𝐿𝑖𝑛ℎ𝑎〗_(𝐺𝑜𝑚𝑜 𝑐𝑎𝑙𝑐)=〖𝐿𝑖𝑛ℎ𝑎〗_(𝐺𝑜𝑚𝑜 𝑒𝑠𝑐)∙𝐹𝑎𝑡𝑜𝑟 𝑑𝑒 𝐸𝑠𝑐𝑎𝑙𝑎</a:t>
              </a:r>
              <a:endParaRPr lang="pt-BR" sz="1100">
                <a:latin typeface="Cambria Math" panose="02040503050406030204" pitchFamily="18" charset="0"/>
                <a:ea typeface="Cambria Math" panose="02040503050406030204" pitchFamily="18" charset="0"/>
              </a:endParaRPr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180973</xdr:colOff>
      <xdr:row>0</xdr:row>
      <xdr:rowOff>171449</xdr:rowOff>
    </xdr:from>
    <xdr:to>
      <xdr:col>9</xdr:col>
      <xdr:colOff>523198</xdr:colOff>
      <xdr:row>38</xdr:row>
      <xdr:rowOff>130499</xdr:rowOff>
    </xdr:to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536B0227-109E-4248-A666-143D47AD3F9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244006</xdr:colOff>
      <xdr:row>10</xdr:row>
      <xdr:rowOff>28293</xdr:rowOff>
    </xdr:from>
    <xdr:to>
      <xdr:col>20</xdr:col>
      <xdr:colOff>942974</xdr:colOff>
      <xdr:row>36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98F516A-6F73-65EC-8D2D-B25D5E3AB4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17</xdr:col>
      <xdr:colOff>0</xdr:colOff>
      <xdr:row>3</xdr:row>
      <xdr:rowOff>0</xdr:rowOff>
    </xdr:from>
    <xdr:ext cx="3077765" cy="60721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CaixaDeTexto 5">
              <a:extLst>
                <a:ext uri="{FF2B5EF4-FFF2-40B4-BE49-F238E27FC236}">
                  <a16:creationId xmlns:a16="http://schemas.microsoft.com/office/drawing/2014/main" id="{5F445E63-98A0-4779-8EB5-145722909934}"/>
                </a:ext>
              </a:extLst>
            </xdr:cNvPr>
            <xdr:cNvSpPr txBox="1"/>
          </xdr:nvSpPr>
          <xdr:spPr>
            <a:xfrm>
              <a:off x="9182100" y="714375"/>
              <a:ext cx="3077765" cy="607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ctr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𝑑</m:t>
                        </m:r>
                      </m:e>
                      <m:sub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𝑣h</m:t>
                        </m:r>
                      </m:sub>
                    </m:sSub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</m:t>
                    </m:r>
                    <m:d>
                      <m:d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𝑅𝑎𝑧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ã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𝑜</m:t>
                        </m:r>
                        <m:f>
                          <m:fPr>
                            <m:ctrlPr>
                              <a:rPr lang="pt-BR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sSub>
                              <m:sSubPr>
                                <m:ctrlP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𝑑</m:t>
                                </m:r>
                              </m:e>
                              <m:sub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𝑣h</m:t>
                                </m:r>
                              </m:sub>
                            </m:sSub>
                          </m:num>
                          <m:den>
                            <m:sSub>
                              <m:sSubPr>
                                <m:ctrlP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𝑑</m:t>
                                </m:r>
                              </m:e>
                              <m:sub>
                                <m:r>
                                  <a:rPr lang="pt-BR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𝑣𝑒𝑙</m:t>
                                </m:r>
                              </m:sub>
                            </m:sSub>
                          </m:den>
                        </m:f>
                      </m:e>
                    </m:d>
                    <m:sSub>
                      <m:sSub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pt-B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%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∙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𝑑</m:t>
                        </m:r>
                      </m:e>
                      <m:sub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𝑣𝑒𝑙</m:t>
                        </m:r>
                      </m:sub>
                    </m:sSub>
                  </m:oMath>
                </m:oMathPara>
              </a14:m>
              <a:endParaRPr lang="pt-BR" sz="1100">
                <a:latin typeface="Cambria Math" panose="02040503050406030204" pitchFamily="18" charset="0"/>
                <a:ea typeface="Cambria Math" panose="02040503050406030204" pitchFamily="18" charset="0"/>
              </a:endParaRPr>
            </a:p>
          </xdr:txBody>
        </xdr:sp>
      </mc:Choice>
      <mc:Fallback xmlns="">
        <xdr:sp macro="" textlink="">
          <xdr:nvSpPr>
            <xdr:cNvPr id="6" name="CaixaDeTexto 5">
              <a:extLst>
                <a:ext uri="{FF2B5EF4-FFF2-40B4-BE49-F238E27FC236}">
                  <a16:creationId xmlns:a16="http://schemas.microsoft.com/office/drawing/2014/main" id="{5F445E63-98A0-4779-8EB5-145722909934}"/>
                </a:ext>
              </a:extLst>
            </xdr:cNvPr>
            <xdr:cNvSpPr txBox="1"/>
          </xdr:nvSpPr>
          <xdr:spPr>
            <a:xfrm>
              <a:off x="9182100" y="714375"/>
              <a:ext cx="3077765" cy="607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ctr">
              <a:noAutofit/>
            </a:bodyPr>
            <a:lstStyle/>
            <a:p>
              <a:pPr/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𝑑_𝑣ℎ=(𝑅𝑎𝑧ã𝑜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𝑑_𝑣ℎ/𝑑_𝑣𝑒𝑙 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) 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〖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%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∙𝑑〗_𝑣𝑒𝑙</a:t>
              </a:r>
              <a:endParaRPr lang="pt-BR" sz="1100">
                <a:latin typeface="Cambria Math" panose="02040503050406030204" pitchFamily="18" charset="0"/>
                <a:ea typeface="Cambria Math" panose="02040503050406030204" pitchFamily="18" charset="0"/>
              </a:endParaRPr>
            </a:p>
          </xdr:txBody>
        </xdr:sp>
      </mc:Fallback>
    </mc:AlternateContent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1143004</xdr:colOff>
      <xdr:row>13</xdr:row>
      <xdr:rowOff>171449</xdr:rowOff>
    </xdr:from>
    <xdr:to>
      <xdr:col>17</xdr:col>
      <xdr:colOff>1466850</xdr:colOff>
      <xdr:row>33</xdr:row>
      <xdr:rowOff>152401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C30CE85-A6BE-4012-ACA3-4378BFCCFD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44</xdr:col>
      <xdr:colOff>323850</xdr:colOff>
      <xdr:row>5</xdr:row>
      <xdr:rowOff>9525</xdr:rowOff>
    </xdr:from>
    <xdr:to>
      <xdr:col>51</xdr:col>
      <xdr:colOff>285749</xdr:colOff>
      <xdr:row>22</xdr:row>
      <xdr:rowOff>38100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43A0B6DE-A9F5-48FC-AAB4-863C41A5F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51075" y="1123950"/>
          <a:ext cx="4229099" cy="34290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49</xdr:col>
      <xdr:colOff>428625</xdr:colOff>
      <xdr:row>19</xdr:row>
      <xdr:rowOff>171450</xdr:rowOff>
    </xdr:from>
    <xdr:to>
      <xdr:col>51</xdr:col>
      <xdr:colOff>285750</xdr:colOff>
      <xdr:row>21</xdr:row>
      <xdr:rowOff>76200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FFFC5772-E680-42C1-8589-4A2813B45451}"/>
            </a:ext>
          </a:extLst>
        </xdr:cNvPr>
        <xdr:cNvSpPr txBox="1"/>
      </xdr:nvSpPr>
      <xdr:spPr>
        <a:xfrm>
          <a:off x="30803850" y="4086225"/>
          <a:ext cx="1076325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05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sendo 2 = nC</a:t>
          </a:r>
        </a:p>
      </xdr:txBody>
    </xdr:sp>
    <xdr:clientData/>
  </xdr:twoCellAnchor>
  <xdr:oneCellAnchor>
    <xdr:from>
      <xdr:col>16</xdr:col>
      <xdr:colOff>447674</xdr:colOff>
      <xdr:row>3</xdr:row>
      <xdr:rowOff>0</xdr:rowOff>
    </xdr:from>
    <xdr:ext cx="3076575" cy="6000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CaixaDeTexto 7">
              <a:extLst>
                <a:ext uri="{FF2B5EF4-FFF2-40B4-BE49-F238E27FC236}">
                  <a16:creationId xmlns:a16="http://schemas.microsoft.com/office/drawing/2014/main" id="{2C8B1D74-AB84-4BD0-8E73-8CB23ABBCD72}"/>
                </a:ext>
              </a:extLst>
            </xdr:cNvPr>
            <xdr:cNvSpPr txBox="1"/>
          </xdr:nvSpPr>
          <xdr:spPr>
            <a:xfrm>
              <a:off x="9182099" y="714375"/>
              <a:ext cx="3076575" cy="600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ctr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skw"/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𝐿</m:t>
                        </m:r>
                      </m:num>
                      <m:den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𝑑</m:t>
                        </m:r>
                      </m:den>
                    </m:f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𝐿</m:t>
                        </m:r>
                      </m:num>
                      <m:den>
                        <m:r>
                          <a:rPr lang="pt-B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𝑑</m:t>
                        </m:r>
                        <m:r>
                          <a:rPr lang="pt-BR" sz="1100" b="0" i="1" baseline="-25000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+mn-cs"/>
                          </a:rPr>
                          <m:t>𝑣𝑒𝑙</m:t>
                        </m:r>
                      </m:den>
                    </m:f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&gt;1,5  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𝑒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 </m:t>
                    </m:r>
                    <m:sSub>
                      <m:sSub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 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𝑇</m:t>
                        </m:r>
                      </m:e>
                      <m:sub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𝑒</m:t>
                        </m:r>
                      </m:sub>
                    </m:sSub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𝐶</m:t>
                    </m:r>
                    <m:r>
                      <a:rPr lang="pt-BR" sz="11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𝑚</m:t>
                            </m:r>
                          </m:e>
                          <m:sub>
                            <m: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𝑠</m:t>
                            </m:r>
                          </m:sub>
                        </m:sSub>
                      </m:num>
                      <m:den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𝑛𝐶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∙</m:t>
                        </m:r>
                        <m:func>
                          <m:funcPr>
                            <m:ctrlPr>
                              <a:rPr lang="pt-BR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funcPr>
                          <m:fName>
                            <m:r>
                              <m:rPr>
                                <m:sty m:val="p"/>
                              </m:rPr>
                              <a:rPr lang="pt-BR" sz="1100" b="0" i="0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sin</m:t>
                            </m:r>
                          </m:fName>
                          <m:e>
                            <m:d>
                              <m:dPr>
                                <m:ctrlPr>
                                  <a:rPr lang="pt-B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dPr>
                              <m:e>
                                <m:r>
                                  <a:rPr lang="pt-BR" sz="1100" b="0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𝜃</m:t>
                                </m:r>
                              </m:e>
                            </m:d>
                          </m:e>
                        </m:func>
                      </m:den>
                    </m:f>
                  </m:oMath>
                </m:oMathPara>
              </a14:m>
              <a:endParaRPr lang="pt-BR" sz="1100">
                <a:latin typeface="Cambria Math" panose="02040503050406030204" pitchFamily="18" charset="0"/>
                <a:ea typeface="Cambria Math" panose="02040503050406030204" pitchFamily="18" charset="0"/>
              </a:endParaRPr>
            </a:p>
          </xdr:txBody>
        </xdr:sp>
      </mc:Choice>
      <mc:Fallback xmlns="">
        <xdr:sp macro="" textlink="">
          <xdr:nvSpPr>
            <xdr:cNvPr id="8" name="CaixaDeTexto 7">
              <a:extLst>
                <a:ext uri="{FF2B5EF4-FFF2-40B4-BE49-F238E27FC236}">
                  <a16:creationId xmlns:a16="http://schemas.microsoft.com/office/drawing/2014/main" id="{2C8B1D74-AB84-4BD0-8E73-8CB23ABBCD72}"/>
                </a:ext>
              </a:extLst>
            </xdr:cNvPr>
            <xdr:cNvSpPr txBox="1"/>
          </xdr:nvSpPr>
          <xdr:spPr>
            <a:xfrm>
              <a:off x="9182099" y="714375"/>
              <a:ext cx="3076575" cy="600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ctr">
              <a:noAutofit/>
            </a:bodyPr>
            <a:lstStyle/>
            <a:p>
              <a:pPr/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𝐿⁄𝑑=𝐿/</a:t>
              </a:r>
              <a:r>
                <a:rPr lang="pt-B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𝑑</a:t>
              </a:r>
              <a:r>
                <a:rPr lang="pt-BR" sz="1100" b="0" i="0" baseline="-250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𝑣𝑒𝑙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&gt;1,5  𝑒 〖 𝑇〗_𝑒 𝐶=𝑚_𝑠/(𝑛𝐶∙sin⁡(𝜃) )</a:t>
              </a:r>
              <a:endParaRPr lang="pt-BR" sz="1100">
                <a:latin typeface="Cambria Math" panose="02040503050406030204" pitchFamily="18" charset="0"/>
                <a:ea typeface="Cambria Math" panose="02040503050406030204" pitchFamily="18" charset="0"/>
              </a:endParaRPr>
            </a:p>
          </xdr:txBody>
        </xdr:sp>
      </mc:Fallback>
    </mc:AlternateContent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2"/>
  <dimension ref="A1:Y50"/>
  <sheetViews>
    <sheetView showGridLines="0" showRowColHeaders="0" zoomScaleNormal="100" workbookViewId="0">
      <selection activeCell="AA22" sqref="AA22"/>
    </sheetView>
  </sheetViews>
  <sheetFormatPr defaultRowHeight="15" x14ac:dyDescent="0.25"/>
  <cols>
    <col min="1" max="1" width="2.7109375" customWidth="1"/>
    <col min="2" max="4" width="13.7109375" customWidth="1"/>
    <col min="5" max="5" width="13.7109375" style="1" customWidth="1"/>
    <col min="6" max="6" width="6.7109375" style="1" customWidth="1"/>
    <col min="7" max="7" width="26.7109375" customWidth="1"/>
    <col min="8" max="9" width="9.7109375" customWidth="1"/>
    <col min="10" max="10" width="3.7109375" customWidth="1"/>
    <col min="11" max="11" width="0.28515625" customWidth="1"/>
    <col min="12" max="12" width="3.7109375" customWidth="1"/>
    <col min="13" max="13" width="5.7109375" customWidth="1"/>
    <col min="14" max="14" width="22.7109375" customWidth="1"/>
    <col min="15" max="16" width="2.7109375" customWidth="1"/>
    <col min="17" max="17" width="6.7109375" customWidth="1"/>
    <col min="18" max="18" width="26.7109375" customWidth="1"/>
    <col min="19" max="20" width="9.7109375" customWidth="1"/>
    <col min="21" max="21" width="15.28515625" customWidth="1"/>
  </cols>
  <sheetData>
    <row r="1" spans="1:18" s="83" customFormat="1" ht="24.95" customHeight="1" x14ac:dyDescent="0.25">
      <c r="A1" s="185"/>
      <c r="B1" s="87" t="s">
        <v>0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</row>
    <row r="2" spans="1:18" ht="15.95" customHeight="1" x14ac:dyDescent="0.25"/>
    <row r="3" spans="1:18" ht="17.100000000000001" customHeight="1" x14ac:dyDescent="0.25">
      <c r="B3" s="203" t="e" vm="1">
        <v>#VALUE!</v>
      </c>
      <c r="C3" s="204"/>
      <c r="D3" s="186"/>
      <c r="E3" s="187"/>
      <c r="F3" s="187"/>
      <c r="G3" s="186"/>
      <c r="H3" s="186"/>
      <c r="I3" s="188"/>
      <c r="J3" s="96"/>
      <c r="K3" s="96"/>
      <c r="L3" s="96"/>
      <c r="M3" s="96"/>
      <c r="N3" s="96"/>
    </row>
    <row r="4" spans="1:18" ht="17.100000000000001" customHeight="1" x14ac:dyDescent="0.25">
      <c r="B4" s="205"/>
      <c r="C4" s="206"/>
      <c r="I4" s="191"/>
      <c r="J4" s="96"/>
      <c r="K4" s="96"/>
      <c r="L4" s="96"/>
      <c r="M4" s="96"/>
      <c r="N4" s="96"/>
    </row>
    <row r="5" spans="1:18" ht="17.100000000000001" customHeight="1" x14ac:dyDescent="0.25">
      <c r="B5" s="205"/>
      <c r="C5" s="206"/>
      <c r="I5" s="191"/>
      <c r="J5" s="96"/>
      <c r="K5" s="96"/>
      <c r="L5" s="96"/>
      <c r="M5" s="96"/>
      <c r="N5" s="96"/>
    </row>
    <row r="6" spans="1:18" s="4" customFormat="1" ht="5.0999999999999996" customHeight="1" x14ac:dyDescent="0.25">
      <c r="A6"/>
      <c r="B6" s="189"/>
      <c r="C6" s="190"/>
      <c r="D6"/>
      <c r="E6" s="1"/>
      <c r="F6" s="1"/>
      <c r="G6"/>
      <c r="H6"/>
      <c r="I6" s="191"/>
      <c r="J6" s="96"/>
      <c r="K6" s="96"/>
      <c r="L6" s="96"/>
      <c r="M6" s="96"/>
      <c r="N6" s="96"/>
    </row>
    <row r="7" spans="1:18" ht="17.100000000000001" customHeight="1" x14ac:dyDescent="0.25">
      <c r="A7" s="3"/>
      <c r="B7" s="207" t="str">
        <f>UPPER("Planilhas desenvolvidas para dimensionamento de paraquedas semielíptico")</f>
        <v>PLANILHAS DESENVOLVIDAS PARA DIMENSIONAMENTO DE PARAQUEDAS SEMIELÍPTICO</v>
      </c>
      <c r="C7" s="208"/>
      <c r="D7" s="208"/>
      <c r="E7" s="208"/>
      <c r="F7" s="208"/>
      <c r="G7" s="208"/>
      <c r="H7" s="208"/>
      <c r="I7" s="209"/>
      <c r="J7" s="96"/>
      <c r="K7" s="96"/>
      <c r="L7" s="96"/>
      <c r="M7" s="96"/>
      <c r="N7" s="96"/>
    </row>
    <row r="8" spans="1:18" ht="5.0999999999999996" customHeight="1" x14ac:dyDescent="0.25">
      <c r="B8" s="192"/>
      <c r="I8" s="191"/>
      <c r="J8" s="96"/>
      <c r="K8" s="96"/>
      <c r="L8" s="96"/>
      <c r="M8" s="96"/>
      <c r="N8" s="96"/>
    </row>
    <row r="9" spans="1:18" ht="17.100000000000001" customHeight="1" x14ac:dyDescent="0.25">
      <c r="B9" s="210" t="s">
        <v>276</v>
      </c>
      <c r="C9" s="211"/>
      <c r="D9" s="211"/>
      <c r="E9" s="211"/>
      <c r="F9" s="211"/>
      <c r="G9" s="211"/>
      <c r="H9" s="211"/>
      <c r="I9" s="212"/>
      <c r="J9" s="96"/>
      <c r="K9" s="96"/>
      <c r="L9" s="96"/>
      <c r="M9" s="96"/>
      <c r="N9" s="96"/>
    </row>
    <row r="10" spans="1:18" ht="15.95" customHeight="1" x14ac:dyDescent="0.25">
      <c r="B10" s="210"/>
      <c r="C10" s="211"/>
      <c r="D10" s="211"/>
      <c r="E10" s="211"/>
      <c r="F10" s="211"/>
      <c r="G10" s="211"/>
      <c r="H10" s="211"/>
      <c r="I10" s="212"/>
      <c r="J10" s="96"/>
      <c r="K10" s="96"/>
      <c r="L10" s="96"/>
      <c r="M10" s="96"/>
      <c r="N10" s="96"/>
    </row>
    <row r="11" spans="1:18" ht="17.100000000000001" customHeight="1" x14ac:dyDescent="0.25">
      <c r="B11" s="210"/>
      <c r="C11" s="211"/>
      <c r="D11" s="211"/>
      <c r="E11" s="211"/>
      <c r="F11" s="211"/>
      <c r="G11" s="211"/>
      <c r="H11" s="211"/>
      <c r="I11" s="212"/>
      <c r="J11" s="96"/>
      <c r="K11" s="96"/>
      <c r="L11" s="96"/>
      <c r="M11" s="96"/>
      <c r="N11" s="96"/>
    </row>
    <row r="12" spans="1:18" ht="17.100000000000001" customHeight="1" x14ac:dyDescent="0.25">
      <c r="A12" s="1"/>
      <c r="B12" s="210"/>
      <c r="C12" s="211"/>
      <c r="D12" s="211"/>
      <c r="E12" s="211"/>
      <c r="F12" s="211"/>
      <c r="G12" s="211"/>
      <c r="H12" s="211"/>
      <c r="I12" s="212"/>
      <c r="J12" s="96"/>
      <c r="K12" s="96"/>
      <c r="L12" s="96"/>
      <c r="M12" s="96"/>
      <c r="N12" s="96"/>
    </row>
    <row r="13" spans="1:18" ht="20.25" customHeight="1" x14ac:dyDescent="0.25">
      <c r="B13" s="210"/>
      <c r="C13" s="211"/>
      <c r="D13" s="211"/>
      <c r="E13" s="211"/>
      <c r="F13" s="211"/>
      <c r="G13" s="211"/>
      <c r="H13" s="211"/>
      <c r="I13" s="212"/>
      <c r="J13" s="96"/>
      <c r="K13" s="96"/>
      <c r="L13" s="96"/>
      <c r="M13" s="96"/>
      <c r="N13" s="96"/>
    </row>
    <row r="14" spans="1:18" s="3" customFormat="1" ht="20.25" customHeight="1" x14ac:dyDescent="0.25">
      <c r="A14"/>
      <c r="B14" s="210"/>
      <c r="C14" s="211"/>
      <c r="D14" s="211"/>
      <c r="E14" s="211"/>
      <c r="F14" s="211"/>
      <c r="G14" s="211"/>
      <c r="H14" s="211"/>
      <c r="I14" s="212"/>
      <c r="J14" s="96"/>
      <c r="K14" s="96"/>
      <c r="L14" s="96"/>
      <c r="M14" s="96"/>
      <c r="N14" s="96"/>
    </row>
    <row r="15" spans="1:18" ht="16.5" customHeight="1" x14ac:dyDescent="0.25">
      <c r="B15" s="210"/>
      <c r="C15" s="211"/>
      <c r="D15" s="211"/>
      <c r="E15" s="211"/>
      <c r="F15" s="211"/>
      <c r="G15" s="211"/>
      <c r="H15" s="211"/>
      <c r="I15" s="212"/>
      <c r="J15" s="96"/>
      <c r="K15" s="96"/>
      <c r="L15" s="96"/>
      <c r="M15" s="96"/>
      <c r="N15" s="96"/>
    </row>
    <row r="16" spans="1:18" ht="17.100000000000001" customHeight="1" x14ac:dyDescent="0.25">
      <c r="B16" s="210"/>
      <c r="C16" s="211"/>
      <c r="D16" s="211"/>
      <c r="E16" s="211"/>
      <c r="F16" s="211"/>
      <c r="G16" s="211"/>
      <c r="H16" s="211"/>
      <c r="I16" s="212"/>
      <c r="J16" s="4"/>
      <c r="K16" s="4"/>
    </row>
    <row r="17" spans="2:25" ht="17.100000000000001" customHeight="1" x14ac:dyDescent="0.25">
      <c r="B17" s="210"/>
      <c r="C17" s="211"/>
      <c r="D17" s="211"/>
      <c r="E17" s="211"/>
      <c r="F17" s="211"/>
      <c r="G17" s="211"/>
      <c r="H17" s="211"/>
      <c r="I17" s="212"/>
      <c r="J17" s="4"/>
      <c r="K17" s="4"/>
    </row>
    <row r="18" spans="2:25" ht="17.100000000000001" customHeight="1" x14ac:dyDescent="0.25">
      <c r="B18" s="213"/>
      <c r="C18" s="214"/>
      <c r="D18" s="214"/>
      <c r="E18" s="214"/>
      <c r="F18" s="214"/>
      <c r="G18" s="214"/>
      <c r="H18" s="214"/>
      <c r="I18" s="215"/>
      <c r="J18" s="4"/>
      <c r="K18" s="4"/>
    </row>
    <row r="19" spans="2:25" x14ac:dyDescent="0.25">
      <c r="C19" s="21"/>
      <c r="D19" s="4"/>
      <c r="E19" s="4"/>
      <c r="F19" s="4"/>
      <c r="J19" s="53"/>
      <c r="K19" s="53"/>
      <c r="L19" s="53"/>
    </row>
    <row r="20" spans="2:25" x14ac:dyDescent="0.25">
      <c r="B20" s="94" t="s">
        <v>1</v>
      </c>
      <c r="C20" s="13"/>
      <c r="D20" s="7"/>
      <c r="E20"/>
      <c r="F20"/>
      <c r="G20" s="4"/>
      <c r="J20" s="53"/>
      <c r="K20" s="53"/>
      <c r="L20" s="53"/>
      <c r="N20" s="97" t="s">
        <v>2</v>
      </c>
    </row>
    <row r="21" spans="2:25" ht="15" customHeight="1" x14ac:dyDescent="0.25">
      <c r="B21" s="241">
        <v>12</v>
      </c>
      <c r="C21" s="241"/>
      <c r="D21" s="216" t="s">
        <v>3</v>
      </c>
      <c r="E21" s="217"/>
      <c r="F21" s="217"/>
      <c r="G21" s="217"/>
      <c r="H21" s="217"/>
      <c r="I21" s="218"/>
      <c r="J21" s="53"/>
      <c r="K21" s="53"/>
      <c r="L21" s="53"/>
      <c r="M21" s="53"/>
      <c r="N21" s="237" t="s">
        <v>4</v>
      </c>
      <c r="O21" s="238" t="s">
        <v>5</v>
      </c>
      <c r="P21" s="238"/>
      <c r="Q21" s="238"/>
      <c r="R21" s="238"/>
      <c r="S21" s="238"/>
      <c r="T21" s="238"/>
    </row>
    <row r="22" spans="2:25" x14ac:dyDescent="0.25">
      <c r="B22" s="241"/>
      <c r="C22" s="241"/>
      <c r="D22" s="219"/>
      <c r="E22" s="220"/>
      <c r="F22" s="220"/>
      <c r="G22" s="220"/>
      <c r="H22" s="220"/>
      <c r="I22" s="221"/>
      <c r="J22" s="53"/>
      <c r="K22" s="53"/>
      <c r="L22" s="53"/>
      <c r="M22" s="53"/>
      <c r="N22" s="237"/>
      <c r="O22" s="238"/>
      <c r="P22" s="238"/>
      <c r="Q22" s="238"/>
      <c r="R22" s="238"/>
      <c r="S22" s="238"/>
      <c r="T22" s="238"/>
    </row>
    <row r="23" spans="2:25" ht="15" customHeight="1" x14ac:dyDescent="0.25">
      <c r="B23" s="242">
        <v>55</v>
      </c>
      <c r="C23" s="242"/>
      <c r="D23" s="216" t="s">
        <v>185</v>
      </c>
      <c r="E23" s="217"/>
      <c r="F23" s="217"/>
      <c r="G23" s="217"/>
      <c r="H23" s="217"/>
      <c r="I23" s="218"/>
      <c r="J23" s="53"/>
      <c r="K23" s="53"/>
      <c r="L23" s="53"/>
      <c r="M23" s="53"/>
      <c r="N23" s="237" t="s">
        <v>6</v>
      </c>
      <c r="O23" s="239" t="s">
        <v>7</v>
      </c>
      <c r="P23" s="239"/>
      <c r="Q23" s="239"/>
      <c r="R23" s="239"/>
      <c r="S23" s="239"/>
      <c r="T23" s="239"/>
    </row>
    <row r="24" spans="2:25" ht="15" customHeight="1" x14ac:dyDescent="0.25">
      <c r="B24" s="242"/>
      <c r="C24" s="242"/>
      <c r="D24" s="219"/>
      <c r="E24" s="220"/>
      <c r="F24" s="220"/>
      <c r="G24" s="220"/>
      <c r="H24" s="220"/>
      <c r="I24" s="221"/>
      <c r="J24" s="53"/>
      <c r="K24" s="53"/>
      <c r="L24" s="53"/>
      <c r="M24" s="53"/>
      <c r="N24" s="237"/>
      <c r="O24" s="239"/>
      <c r="P24" s="239"/>
      <c r="Q24" s="239"/>
      <c r="R24" s="239"/>
      <c r="S24" s="239"/>
      <c r="T24" s="239"/>
    </row>
    <row r="25" spans="2:25" ht="15" customHeight="1" x14ac:dyDescent="0.25">
      <c r="B25" s="243">
        <v>100.03</v>
      </c>
      <c r="C25" s="243"/>
      <c r="D25" s="216" t="s">
        <v>8</v>
      </c>
      <c r="E25" s="217"/>
      <c r="F25" s="217"/>
      <c r="G25" s="217"/>
      <c r="H25" s="217"/>
      <c r="I25" s="218"/>
      <c r="M25" s="53"/>
      <c r="N25" s="244" t="s">
        <v>9</v>
      </c>
      <c r="O25" s="216" t="s">
        <v>10</v>
      </c>
      <c r="P25" s="217"/>
      <c r="Q25" s="217"/>
      <c r="R25" s="217"/>
      <c r="S25" s="217"/>
      <c r="T25" s="218"/>
    </row>
    <row r="26" spans="2:25" x14ac:dyDescent="0.25">
      <c r="B26" s="243"/>
      <c r="C26" s="243"/>
      <c r="D26" s="219"/>
      <c r="E26" s="220"/>
      <c r="F26" s="220"/>
      <c r="G26" s="220"/>
      <c r="H26" s="220"/>
      <c r="I26" s="221"/>
      <c r="J26" s="53"/>
      <c r="K26" s="53"/>
      <c r="L26" s="53"/>
      <c r="M26" s="53"/>
      <c r="N26" s="244"/>
      <c r="O26" s="222"/>
      <c r="P26" s="223"/>
      <c r="Q26" s="223"/>
      <c r="R26" s="223"/>
      <c r="S26" s="223"/>
      <c r="T26" s="224"/>
    </row>
    <row r="27" spans="2:25" ht="15" customHeight="1" x14ac:dyDescent="0.25">
      <c r="B27" s="240">
        <v>99.332999999999998</v>
      </c>
      <c r="C27" s="240"/>
      <c r="D27" s="216" t="s">
        <v>266</v>
      </c>
      <c r="E27" s="217"/>
      <c r="F27" s="217"/>
      <c r="G27" s="217"/>
      <c r="H27" s="217"/>
      <c r="I27" s="218"/>
      <c r="M27" s="53"/>
      <c r="N27" s="244"/>
      <c r="O27" s="99"/>
      <c r="P27" s="100"/>
      <c r="Q27" s="100"/>
      <c r="R27" s="100"/>
      <c r="S27" s="100"/>
      <c r="T27" s="101"/>
    </row>
    <row r="28" spans="2:25" ht="17.100000000000001" customHeight="1" x14ac:dyDescent="0.25">
      <c r="B28" s="240"/>
      <c r="C28" s="240"/>
      <c r="D28" s="219"/>
      <c r="E28" s="220"/>
      <c r="F28" s="220"/>
      <c r="G28" s="220"/>
      <c r="H28" s="220"/>
      <c r="I28" s="221"/>
      <c r="N28" s="245" t="s">
        <v>11</v>
      </c>
      <c r="O28" s="216" t="s">
        <v>12</v>
      </c>
      <c r="P28" s="217"/>
      <c r="Q28" s="217"/>
      <c r="R28" s="217"/>
      <c r="S28" s="217"/>
      <c r="T28" s="218"/>
    </row>
    <row r="29" spans="2:25" ht="15" customHeight="1" x14ac:dyDescent="0.25">
      <c r="B29" s="248" t="s">
        <v>267</v>
      </c>
      <c r="C29" s="249"/>
      <c r="D29" s="216" t="s">
        <v>268</v>
      </c>
      <c r="E29" s="217"/>
      <c r="F29" s="217"/>
      <c r="G29" s="217"/>
      <c r="H29" s="217"/>
      <c r="I29" s="218"/>
      <c r="M29" s="53"/>
      <c r="N29" s="246"/>
      <c r="O29" s="222"/>
      <c r="P29" s="223"/>
      <c r="Q29" s="223"/>
      <c r="R29" s="223"/>
      <c r="S29" s="223"/>
      <c r="T29" s="224"/>
    </row>
    <row r="30" spans="2:25" ht="15" customHeight="1" x14ac:dyDescent="0.25">
      <c r="B30" s="249"/>
      <c r="C30" s="249"/>
      <c r="D30" s="219"/>
      <c r="E30" s="220"/>
      <c r="F30" s="220"/>
      <c r="G30" s="220"/>
      <c r="H30" s="220"/>
      <c r="I30" s="221"/>
      <c r="N30" s="247"/>
      <c r="O30" s="225"/>
      <c r="P30" s="226"/>
      <c r="Q30" s="226"/>
      <c r="R30" s="226"/>
      <c r="S30" s="226"/>
      <c r="T30" s="227"/>
    </row>
    <row r="31" spans="2:25" x14ac:dyDescent="0.25">
      <c r="Y31" s="2"/>
    </row>
    <row r="32" spans="2:25" x14ac:dyDescent="0.25">
      <c r="B32" s="94" t="s">
        <v>269</v>
      </c>
      <c r="N32" s="94" t="s">
        <v>274</v>
      </c>
      <c r="Q32" s="1"/>
      <c r="R32" s="1"/>
      <c r="Y32" s="2"/>
    </row>
    <row r="33" spans="1:24" ht="15" customHeight="1" x14ac:dyDescent="0.25">
      <c r="B33" s="228" t="s">
        <v>270</v>
      </c>
      <c r="C33" s="229"/>
      <c r="D33" s="229"/>
      <c r="E33" s="229"/>
      <c r="F33" s="229"/>
      <c r="G33" s="229"/>
      <c r="H33" s="229"/>
      <c r="I33" s="230"/>
      <c r="N33" s="194" t="s">
        <v>275</v>
      </c>
      <c r="O33" s="195"/>
      <c r="P33" s="195"/>
      <c r="Q33" s="195"/>
      <c r="R33" s="195"/>
      <c r="S33" s="195"/>
      <c r="T33" s="196"/>
      <c r="U33" s="193"/>
      <c r="V33" s="1"/>
      <c r="W33" s="1"/>
      <c r="X33" s="1"/>
    </row>
    <row r="34" spans="1:24" x14ac:dyDescent="0.25">
      <c r="B34" s="231"/>
      <c r="C34" s="232"/>
      <c r="D34" s="232"/>
      <c r="E34" s="232"/>
      <c r="F34" s="232"/>
      <c r="G34" s="232"/>
      <c r="H34" s="232"/>
      <c r="I34" s="233"/>
      <c r="N34" s="197"/>
      <c r="O34" s="198"/>
      <c r="P34" s="198"/>
      <c r="Q34" s="198"/>
      <c r="R34" s="198"/>
      <c r="S34" s="198"/>
      <c r="T34" s="199"/>
      <c r="U34" s="193"/>
    </row>
    <row r="35" spans="1:24" x14ac:dyDescent="0.25">
      <c r="B35" s="231"/>
      <c r="C35" s="232"/>
      <c r="D35" s="232"/>
      <c r="E35" s="232"/>
      <c r="F35" s="232"/>
      <c r="G35" s="232"/>
      <c r="H35" s="232"/>
      <c r="I35" s="233"/>
      <c r="N35" s="197"/>
      <c r="O35" s="198"/>
      <c r="P35" s="198"/>
      <c r="Q35" s="198"/>
      <c r="R35" s="198"/>
      <c r="S35" s="198"/>
      <c r="T35" s="199"/>
      <c r="U35" s="193"/>
    </row>
    <row r="36" spans="1:24" x14ac:dyDescent="0.25">
      <c r="B36" s="231"/>
      <c r="C36" s="232"/>
      <c r="D36" s="232"/>
      <c r="E36" s="232"/>
      <c r="F36" s="232"/>
      <c r="G36" s="232"/>
      <c r="H36" s="232"/>
      <c r="I36" s="233"/>
      <c r="N36" s="197"/>
      <c r="O36" s="198"/>
      <c r="P36" s="198"/>
      <c r="Q36" s="198"/>
      <c r="R36" s="198"/>
      <c r="S36" s="198"/>
      <c r="T36" s="199"/>
      <c r="U36" s="193"/>
    </row>
    <row r="37" spans="1:24" s="1" customFormat="1" x14ac:dyDescent="0.25">
      <c r="A37"/>
      <c r="B37" s="234"/>
      <c r="C37" s="235"/>
      <c r="D37" s="235"/>
      <c r="E37" s="235"/>
      <c r="F37" s="235"/>
      <c r="G37" s="235"/>
      <c r="H37" s="235"/>
      <c r="I37" s="236"/>
      <c r="J37"/>
      <c r="K37"/>
      <c r="L37"/>
      <c r="M37"/>
      <c r="N37" s="200"/>
      <c r="O37" s="201"/>
      <c r="P37" s="201"/>
      <c r="Q37" s="201"/>
      <c r="R37" s="201"/>
      <c r="S37" s="201"/>
      <c r="T37" s="202"/>
      <c r="U37" s="193"/>
      <c r="V37"/>
      <c r="W37"/>
      <c r="X37"/>
    </row>
    <row r="40" spans="1:24" x14ac:dyDescent="0.25">
      <c r="Q40" s="1"/>
    </row>
    <row r="50" spans="2:2" x14ac:dyDescent="0.25">
      <c r="B50" s="184"/>
    </row>
  </sheetData>
  <sheetProtection selectLockedCells="1"/>
  <mergeCells count="24">
    <mergeCell ref="O28:T29"/>
    <mergeCell ref="B21:C22"/>
    <mergeCell ref="B23:C24"/>
    <mergeCell ref="B25:C26"/>
    <mergeCell ref="N25:N27"/>
    <mergeCell ref="N28:N30"/>
    <mergeCell ref="B29:C30"/>
    <mergeCell ref="D21:I22"/>
    <mergeCell ref="N33:T37"/>
    <mergeCell ref="B3:C5"/>
    <mergeCell ref="B7:I7"/>
    <mergeCell ref="B9:I18"/>
    <mergeCell ref="D25:I26"/>
    <mergeCell ref="D27:I28"/>
    <mergeCell ref="D29:I30"/>
    <mergeCell ref="O25:T26"/>
    <mergeCell ref="O30:T30"/>
    <mergeCell ref="B33:I37"/>
    <mergeCell ref="N21:N22"/>
    <mergeCell ref="O21:T22"/>
    <mergeCell ref="N23:N24"/>
    <mergeCell ref="O23:T24"/>
    <mergeCell ref="D23:I24"/>
    <mergeCell ref="B27:C28"/>
  </mergeCells>
  <phoneticPr fontId="28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1"/>
  <dimension ref="A1:BO118"/>
  <sheetViews>
    <sheetView showGridLines="0" showRowColHeaders="0" tabSelected="1" zoomScaleNormal="100" workbookViewId="0">
      <selection activeCell="I13" sqref="I13"/>
    </sheetView>
  </sheetViews>
  <sheetFormatPr defaultRowHeight="15" x14ac:dyDescent="0.25"/>
  <cols>
    <col min="1" max="1" width="2.7109375" customWidth="1"/>
    <col min="2" max="2" width="5.7109375" customWidth="1"/>
    <col min="3" max="3" width="22.7109375" style="37" customWidth="1"/>
    <col min="4" max="5" width="2.7109375" customWidth="1"/>
    <col min="6" max="6" width="6.7109375" customWidth="1"/>
    <col min="7" max="7" width="26.7109375" style="39" customWidth="1"/>
    <col min="8" max="9" width="9.7109375" style="39" customWidth="1"/>
    <col min="10" max="10" width="3.7109375" style="39" customWidth="1"/>
    <col min="11" max="11" width="0.28515625" style="39" customWidth="1"/>
    <col min="12" max="12" width="3.7109375" style="39" customWidth="1"/>
    <col min="13" max="13" width="5.7109375" style="39" customWidth="1"/>
    <col min="14" max="14" width="22.7109375" style="39" customWidth="1"/>
    <col min="15" max="16" width="2.7109375" style="39" customWidth="1"/>
    <col min="17" max="17" width="6.7109375" style="39" customWidth="1"/>
    <col min="18" max="18" width="26.7109375" style="39" customWidth="1"/>
    <col min="19" max="20" width="9.7109375" style="39" customWidth="1"/>
    <col min="21" max="21" width="15.7109375" style="39" customWidth="1"/>
    <col min="22" max="25" width="9.140625" style="39" customWidth="1"/>
    <col min="26" max="32" width="9.140625" customWidth="1"/>
  </cols>
  <sheetData>
    <row r="1" spans="1:67" s="83" customFormat="1" ht="24.95" customHeight="1" x14ac:dyDescent="0.25">
      <c r="A1" s="77"/>
      <c r="B1" s="87" t="s">
        <v>13</v>
      </c>
      <c r="C1" s="77"/>
      <c r="D1" s="78"/>
      <c r="E1" s="78"/>
      <c r="F1" s="78"/>
      <c r="G1" s="81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</row>
    <row r="2" spans="1:67" ht="15.95" customHeight="1" x14ac:dyDescent="0.25">
      <c r="C2"/>
      <c r="G2"/>
      <c r="H2"/>
      <c r="I2" s="1"/>
      <c r="J2"/>
      <c r="K2"/>
      <c r="L2"/>
      <c r="M2"/>
      <c r="N2"/>
      <c r="O2"/>
      <c r="P2"/>
      <c r="Q2"/>
      <c r="R2"/>
      <c r="S2"/>
      <c r="T2"/>
      <c r="U2"/>
      <c r="V2" s="7"/>
      <c r="W2"/>
      <c r="X2"/>
      <c r="Y2"/>
    </row>
    <row r="3" spans="1:67" ht="15.95" customHeight="1" x14ac:dyDescent="0.25">
      <c r="B3" s="307" t="s">
        <v>14</v>
      </c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/>
      <c r="V3" s="7"/>
      <c r="W3"/>
      <c r="X3"/>
      <c r="Y3"/>
    </row>
    <row r="4" spans="1:67" ht="15.95" customHeight="1" x14ac:dyDescent="0.25">
      <c r="B4" s="315" t="s">
        <v>244</v>
      </c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09"/>
      <c r="S4" s="309"/>
      <c r="T4" s="310"/>
      <c r="U4"/>
      <c r="V4" s="7"/>
      <c r="W4"/>
      <c r="X4"/>
      <c r="Y4"/>
    </row>
    <row r="5" spans="1:67" ht="15.95" customHeight="1" x14ac:dyDescent="0.25"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1"/>
      <c r="S5" s="311"/>
      <c r="T5" s="312"/>
      <c r="U5" s="37"/>
      <c r="V5" s="7"/>
      <c r="W5"/>
      <c r="X5"/>
      <c r="Y5"/>
      <c r="BG5" t="s">
        <v>15</v>
      </c>
      <c r="BH5">
        <v>500</v>
      </c>
      <c r="BI5">
        <f>($BF$12/$BA$12)*ACOSH(EXP(($BA$12*$BH$5)/$BF$12^2))</f>
        <v>10.411293236648717</v>
      </c>
      <c r="BL5">
        <f>($BF$16/$BA$16)*ACOSH(EXP(($BA$16*$BH$5)/$BF$16^2))</f>
        <v>10.424498015091727</v>
      </c>
      <c r="BO5">
        <f>($BF$21/$BA$21)*ACOSH(EXP(($BA$21*$BH$5)/$BF$21^2))</f>
        <v>10.44191642058305</v>
      </c>
    </row>
    <row r="6" spans="1:67" ht="15.95" customHeight="1" x14ac:dyDescent="0.25"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  <c r="M6" s="315"/>
      <c r="N6" s="315"/>
      <c r="O6" s="315"/>
      <c r="P6" s="315"/>
      <c r="Q6" s="315"/>
      <c r="R6" s="313"/>
      <c r="S6" s="313"/>
      <c r="T6" s="314"/>
      <c r="U6" s="37"/>
      <c r="V6" s="7"/>
      <c r="W6"/>
      <c r="X6"/>
      <c r="Y6"/>
      <c r="BI6">
        <f>$BF$12*TANH(($BA$12*BI5)/$BF$12)</f>
        <v>90.801896471417848</v>
      </c>
      <c r="BL6">
        <f>$BF$16*TANH(($BA$16*BL5)/$BF$16)</f>
        <v>90.462773610033494</v>
      </c>
      <c r="BO6">
        <f>$BF$21*TANH(($BA$21*BO5)/$BF$21)</f>
        <v>90.01986122563477</v>
      </c>
    </row>
    <row r="7" spans="1:67" ht="15.95" customHeight="1" x14ac:dyDescent="0.25">
      <c r="B7" s="34"/>
      <c r="C7" s="34"/>
      <c r="D7" s="34"/>
      <c r="E7" s="34"/>
      <c r="F7" s="34"/>
      <c r="G7" s="38"/>
      <c r="H7" s="38"/>
      <c r="I7" s="38"/>
      <c r="J7"/>
      <c r="K7"/>
      <c r="L7"/>
      <c r="M7"/>
      <c r="N7"/>
      <c r="O7"/>
      <c r="P7"/>
      <c r="Q7"/>
      <c r="R7"/>
      <c r="S7"/>
      <c r="T7"/>
      <c r="U7"/>
      <c r="V7" s="7"/>
      <c r="W7"/>
      <c r="X7"/>
      <c r="Y7"/>
      <c r="AV7" t="s">
        <v>16</v>
      </c>
    </row>
    <row r="8" spans="1:67" ht="15.95" customHeight="1" x14ac:dyDescent="0.25">
      <c r="B8" s="33"/>
      <c r="C8" s="33"/>
      <c r="D8" s="33"/>
      <c r="E8" s="33"/>
      <c r="F8" s="33"/>
      <c r="J8"/>
      <c r="K8"/>
      <c r="L8"/>
      <c r="M8"/>
      <c r="N8"/>
      <c r="O8"/>
      <c r="P8"/>
      <c r="Q8"/>
      <c r="R8"/>
      <c r="S8"/>
      <c r="T8"/>
      <c r="U8"/>
      <c r="V8" s="7"/>
      <c r="W8"/>
      <c r="X8"/>
      <c r="Y8"/>
      <c r="BH8" t="s">
        <v>17</v>
      </c>
      <c r="BI8">
        <f>($BF$12/$BA$12)*ATANH(0.999)</f>
        <v>64.829184053135464</v>
      </c>
      <c r="BK8" t="s">
        <v>17</v>
      </c>
      <c r="BL8">
        <f>($BF$16/$BA$16)*ATANH(0.999)</f>
        <v>63.381708280397056</v>
      </c>
      <c r="BN8" t="s">
        <v>17</v>
      </c>
      <c r="BO8">
        <f>($BF$21/$BA$21)*ATANH(0.999)</f>
        <v>61.617727316302812</v>
      </c>
    </row>
    <row r="9" spans="1:67" ht="15.95" customHeight="1" x14ac:dyDescent="0.25">
      <c r="B9" s="248" t="s">
        <v>18</v>
      </c>
      <c r="C9" s="248"/>
      <c r="D9" s="248"/>
      <c r="E9" s="248"/>
      <c r="F9" s="248"/>
      <c r="G9" s="248"/>
      <c r="H9" s="248"/>
      <c r="I9" s="248"/>
      <c r="J9"/>
      <c r="K9" s="29"/>
      <c r="L9"/>
      <c r="M9" s="306" t="s">
        <v>19</v>
      </c>
      <c r="N9" s="306"/>
      <c r="O9" s="306"/>
      <c r="P9" s="306"/>
      <c r="Q9" s="306"/>
      <c r="R9" s="306"/>
      <c r="S9" s="306"/>
      <c r="T9" s="306"/>
      <c r="U9"/>
      <c r="V9" s="7"/>
      <c r="W9"/>
      <c r="X9"/>
      <c r="Y9"/>
      <c r="AU9" s="90"/>
      <c r="AV9" s="316" t="s">
        <v>20</v>
      </c>
      <c r="AW9" s="316"/>
      <c r="AX9" s="316"/>
      <c r="AY9" s="316"/>
      <c r="AZ9" s="316"/>
      <c r="BA9" s="316"/>
      <c r="BB9" s="316"/>
      <c r="BC9" s="316"/>
      <c r="BD9" s="316"/>
      <c r="BE9" s="316"/>
      <c r="BF9" s="316"/>
      <c r="BH9" t="s">
        <v>21</v>
      </c>
      <c r="BI9">
        <f>($BF$12^2/$BA$12)*LN(COSH(($BA$12*$BI$8)/$BF$12))</f>
        <v>8843.2283514098344</v>
      </c>
      <c r="BK9" t="s">
        <v>21</v>
      </c>
      <c r="BL9">
        <f>($BF$16^2/$BA$16)*LN(COSH(($BA$16*$BL$8)/$BF$16))</f>
        <v>8453.8089748179791</v>
      </c>
      <c r="BN9" t="s">
        <v>21</v>
      </c>
      <c r="BO9">
        <f>($BF$21^2/$BA$21)*LN(COSH(($BA$21*$BO$8)/$BF$21))</f>
        <v>7991.0604929097281</v>
      </c>
    </row>
    <row r="10" spans="1:67" ht="15.95" customHeight="1" x14ac:dyDescent="0.25">
      <c r="C10"/>
      <c r="G10"/>
      <c r="H10"/>
      <c r="I10" s="1"/>
      <c r="J10" s="7"/>
      <c r="K10" s="25"/>
      <c r="L10" s="7"/>
      <c r="M10"/>
      <c r="N10"/>
      <c r="O10"/>
      <c r="P10"/>
      <c r="Q10"/>
      <c r="R10"/>
      <c r="S10"/>
      <c r="T10"/>
      <c r="U10" s="179"/>
      <c r="V10" s="4"/>
      <c r="W10" s="4"/>
      <c r="X10"/>
      <c r="Y10"/>
    </row>
    <row r="11" spans="1:67" ht="15.95" customHeight="1" x14ac:dyDescent="0.25">
      <c r="B11" s="266" t="s">
        <v>22</v>
      </c>
      <c r="C11" s="255" t="s">
        <v>229</v>
      </c>
      <c r="D11" s="255"/>
      <c r="E11" s="255"/>
      <c r="F11" s="255"/>
      <c r="G11" s="255"/>
      <c r="H11" s="255"/>
      <c r="I11" s="255"/>
      <c r="J11" s="7"/>
      <c r="K11" s="25"/>
      <c r="L11" s="7"/>
      <c r="M11" s="292" t="s">
        <v>23</v>
      </c>
      <c r="N11" s="255" t="s">
        <v>156</v>
      </c>
      <c r="O11" s="255"/>
      <c r="P11" s="255"/>
      <c r="Q11" s="255"/>
      <c r="R11" s="255"/>
      <c r="S11" s="255"/>
      <c r="T11" s="255"/>
      <c r="U11" s="4"/>
      <c r="V11" s="4"/>
      <c r="W11"/>
      <c r="X11"/>
      <c r="Y11"/>
      <c r="AW11" s="65" t="s">
        <v>24</v>
      </c>
      <c r="AX11" s="65" t="s">
        <v>25</v>
      </c>
      <c r="AY11" s="65" t="s">
        <v>26</v>
      </c>
      <c r="AZ11" s="65" t="s">
        <v>9</v>
      </c>
      <c r="BA11" s="65" t="s">
        <v>11</v>
      </c>
      <c r="BB11" s="65" t="s">
        <v>27</v>
      </c>
      <c r="BC11" s="65" t="s">
        <v>28</v>
      </c>
      <c r="BD11" s="65" t="s">
        <v>29</v>
      </c>
      <c r="BE11" s="65" t="s">
        <v>30</v>
      </c>
      <c r="BF11" s="65" t="s">
        <v>31</v>
      </c>
      <c r="BH11" s="23" t="s">
        <v>15</v>
      </c>
      <c r="BI11" s="23" t="s">
        <v>32</v>
      </c>
      <c r="BK11" s="23" t="s">
        <v>15</v>
      </c>
      <c r="BL11" s="23" t="s">
        <v>32</v>
      </c>
      <c r="BN11" s="23" t="s">
        <v>15</v>
      </c>
      <c r="BO11" s="23" t="s">
        <v>32</v>
      </c>
    </row>
    <row r="12" spans="1:67" ht="15.95" customHeight="1" x14ac:dyDescent="0.25">
      <c r="A12" s="4"/>
      <c r="B12" s="267"/>
      <c r="C12" s="269" t="s">
        <v>33</v>
      </c>
      <c r="D12" s="269"/>
      <c r="E12" s="269"/>
      <c r="F12" s="269"/>
      <c r="G12" s="269"/>
      <c r="H12" s="85" t="s">
        <v>34</v>
      </c>
      <c r="I12" s="85" t="s">
        <v>35</v>
      </c>
      <c r="J12" s="7"/>
      <c r="K12" s="25"/>
      <c r="L12" s="7"/>
      <c r="M12" s="292"/>
      <c r="N12" s="308" t="s">
        <v>33</v>
      </c>
      <c r="O12" s="308"/>
      <c r="P12" s="308"/>
      <c r="Q12" s="308"/>
      <c r="R12" s="308"/>
      <c r="S12" s="85" t="s">
        <v>34</v>
      </c>
      <c r="T12" s="85" t="s">
        <v>35</v>
      </c>
      <c r="U12" s="102"/>
      <c r="V12" s="4"/>
      <c r="W12" s="4"/>
      <c r="X12"/>
      <c r="Y12"/>
      <c r="AV12" s="54" t="s">
        <v>36</v>
      </c>
      <c r="AW12" s="38">
        <v>0</v>
      </c>
      <c r="AX12" s="55">
        <f>I28</f>
        <v>3000</v>
      </c>
      <c r="AY12" s="55">
        <f>AX12-$I$20</f>
        <v>3000</v>
      </c>
      <c r="AZ12" s="59">
        <f t="shared" ref="AZ12:AZ42" si="0">1.225*EXP(-(AX12/1000)/8.882)</f>
        <v>0.87387238954572632</v>
      </c>
      <c r="BA12" s="59">
        <f t="shared" ref="BA12:BA42" si="1">9.780327*(1+0.0053024*((SIN($I$21*PI()/180))^2)-0.0000058*((SIN(2*$I$21*PI()/180))^2))-0.000003086*AX12</f>
        <v>9.7783190344432729</v>
      </c>
      <c r="BB12" s="59">
        <f>$I$13</f>
        <v>5</v>
      </c>
      <c r="BC12" s="59">
        <f t="shared" ref="BC12:BC42" si="2">BB12*BA12</f>
        <v>48.891595172216363</v>
      </c>
      <c r="BD12" s="57">
        <f>$I$14</f>
        <v>0.8</v>
      </c>
      <c r="BE12" s="59">
        <f>(PI()*$I$15^2)/4</f>
        <v>5.0265482457436689E-3</v>
      </c>
      <c r="BF12" s="56">
        <f t="shared" ref="BF12:BF42" si="3">SQRT((2*BC12)/(AZ12*BD12*BE12))</f>
        <v>166.81233874597788</v>
      </c>
      <c r="BH12">
        <v>1</v>
      </c>
      <c r="BI12">
        <f>$BF$12*TANH(($BA$12*BH12)/$BF$12)</f>
        <v>9.7671344845752301</v>
      </c>
      <c r="BK12">
        <v>1</v>
      </c>
      <c r="BL12">
        <f>$BF$16*TANH(($BA$16*BK12)/$BF$16)</f>
        <v>9.7678514632100679</v>
      </c>
      <c r="BN12">
        <v>1</v>
      </c>
      <c r="BO12">
        <f>$BF$21*TANH(($BA$21*BN12)/$BF$21)</f>
        <v>9.7687139480711167</v>
      </c>
    </row>
    <row r="13" spans="1:67" s="4" customFormat="1" ht="15.95" customHeight="1" x14ac:dyDescent="0.25">
      <c r="A13"/>
      <c r="B13" s="267"/>
      <c r="C13" s="298" t="s">
        <v>261</v>
      </c>
      <c r="D13" s="299"/>
      <c r="E13" s="299"/>
      <c r="F13" s="299"/>
      <c r="G13" s="300"/>
      <c r="H13" s="36" t="s">
        <v>37</v>
      </c>
      <c r="I13" s="44">
        <v>5</v>
      </c>
      <c r="J13" s="7"/>
      <c r="K13" s="25"/>
      <c r="L13" s="7"/>
      <c r="M13" s="293"/>
      <c r="N13" s="322" t="s">
        <v>245</v>
      </c>
      <c r="O13" s="323"/>
      <c r="P13" s="323"/>
      <c r="Q13" s="323"/>
      <c r="R13" s="324"/>
      <c r="S13" s="297" t="s">
        <v>38</v>
      </c>
      <c r="T13" s="303">
        <f>(2*$I$13*$I$45)/($I$44*$I$49*I54^2)</f>
        <v>1.2085485356798384</v>
      </c>
      <c r="U13" s="106"/>
      <c r="AV13" s="37"/>
      <c r="AW13" s="38">
        <v>1</v>
      </c>
      <c r="AX13" s="58">
        <f t="shared" ref="AX13:AX21" si="4">AX12-($AX$12-$AX$22)/10</f>
        <v>2900</v>
      </c>
      <c r="AY13" s="58">
        <f t="shared" ref="AY13:AY42" si="5">AX13-$I$20</f>
        <v>2900</v>
      </c>
      <c r="AZ13" s="59">
        <f t="shared" si="0"/>
        <v>0.88376667290714273</v>
      </c>
      <c r="BA13" s="59">
        <f t="shared" si="1"/>
        <v>9.7786276344432732</v>
      </c>
      <c r="BB13" s="59">
        <f t="shared" ref="BB13:BB42" si="6">$I$13</f>
        <v>5</v>
      </c>
      <c r="BC13" s="59">
        <f t="shared" si="2"/>
        <v>48.893138172216368</v>
      </c>
      <c r="BD13" s="59">
        <f t="shared" ref="BD13:BD21" si="7">$I$14</f>
        <v>0.8</v>
      </c>
      <c r="BE13" s="59">
        <f t="shared" ref="BE13:BE21" si="8">(PI()*$I$15^2)/4</f>
        <v>5.0265482457436689E-3</v>
      </c>
      <c r="BF13" s="56">
        <f t="shared" si="3"/>
        <v>165.87854721455639</v>
      </c>
      <c r="BH13">
        <v>2</v>
      </c>
      <c r="BI13">
        <f t="shared" ref="BI13:BI74" si="9">$BF$12*TANH(($BA$12*BH13)/$BF$12)</f>
        <v>19.467528567913281</v>
      </c>
      <c r="BK13">
        <v>2</v>
      </c>
      <c r="BL13">
        <f t="shared" ref="BL13:BL71" si="10">$BF$16*TANH(($BA$16*BK13)/$BF$16)</f>
        <v>19.465892601051994</v>
      </c>
      <c r="BN13">
        <v>2</v>
      </c>
      <c r="BO13">
        <f t="shared" ref="BO13:BO71" si="11">$BF$21*TANH(($BA$21*BN13)/$BF$21)</f>
        <v>19.463582350681516</v>
      </c>
    </row>
    <row r="14" spans="1:67" ht="15.95" customHeight="1" x14ac:dyDescent="0.25">
      <c r="B14" s="267"/>
      <c r="C14" s="298" t="s">
        <v>39</v>
      </c>
      <c r="D14" s="299"/>
      <c r="E14" s="299"/>
      <c r="F14" s="299"/>
      <c r="G14" s="300"/>
      <c r="H14" s="36" t="s">
        <v>40</v>
      </c>
      <c r="I14" s="44">
        <v>0.8</v>
      </c>
      <c r="J14" s="7"/>
      <c r="K14" s="25"/>
      <c r="L14" s="7"/>
      <c r="M14" s="293"/>
      <c r="N14" s="325" t="s">
        <v>246</v>
      </c>
      <c r="O14" s="326"/>
      <c r="P14" s="326"/>
      <c r="Q14" s="326"/>
      <c r="R14" s="327"/>
      <c r="S14" s="297"/>
      <c r="T14" s="303"/>
      <c r="U14" s="180"/>
      <c r="V14" s="4"/>
      <c r="W14"/>
      <c r="X14"/>
      <c r="Y14"/>
      <c r="AV14" s="53"/>
      <c r="AW14" s="42">
        <v>2</v>
      </c>
      <c r="AX14" s="58">
        <f t="shared" si="4"/>
        <v>2800</v>
      </c>
      <c r="AY14" s="58">
        <f t="shared" si="5"/>
        <v>2800</v>
      </c>
      <c r="AZ14" s="59">
        <f t="shared" si="0"/>
        <v>0.89377298274337069</v>
      </c>
      <c r="BA14" s="59">
        <f t="shared" si="1"/>
        <v>9.7789362344432735</v>
      </c>
      <c r="BB14" s="59">
        <f t="shared" si="6"/>
        <v>5</v>
      </c>
      <c r="BC14" s="59">
        <f t="shared" si="2"/>
        <v>48.894681172216366</v>
      </c>
      <c r="BD14" s="59">
        <f t="shared" si="7"/>
        <v>0.8</v>
      </c>
      <c r="BE14" s="59">
        <f t="shared" si="8"/>
        <v>5.0265482457436689E-3</v>
      </c>
      <c r="BF14" s="56">
        <f t="shared" si="3"/>
        <v>164.94998283196946</v>
      </c>
      <c r="BH14">
        <v>3</v>
      </c>
      <c r="BI14">
        <f t="shared" si="9"/>
        <v>29.036253659974083</v>
      </c>
      <c r="BK14">
        <v>3</v>
      </c>
      <c r="BL14">
        <f t="shared" si="10"/>
        <v>29.026294649074334</v>
      </c>
      <c r="BN14">
        <v>3</v>
      </c>
      <c r="BO14">
        <f t="shared" si="11"/>
        <v>29.012975819494237</v>
      </c>
    </row>
    <row r="15" spans="1:67" ht="15.95" customHeight="1" x14ac:dyDescent="0.25">
      <c r="B15" s="267"/>
      <c r="C15" s="294" t="s">
        <v>41</v>
      </c>
      <c r="D15" s="295"/>
      <c r="E15" s="295"/>
      <c r="F15" s="295"/>
      <c r="G15" s="296"/>
      <c r="H15" s="36" t="s">
        <v>42</v>
      </c>
      <c r="I15" s="44">
        <v>0.08</v>
      </c>
      <c r="J15" s="7"/>
      <c r="K15" s="25"/>
      <c r="L15" s="7"/>
      <c r="M15" s="22"/>
      <c r="N15" s="22"/>
      <c r="O15" s="22"/>
      <c r="P15" s="22"/>
      <c r="Q15" s="22"/>
      <c r="R15" s="22"/>
      <c r="S15" s="22"/>
      <c r="T15" s="22"/>
      <c r="U15" s="14"/>
      <c r="V15" s="4"/>
      <c r="W15"/>
      <c r="X15"/>
      <c r="Y15"/>
      <c r="AV15" s="37"/>
      <c r="AW15" s="38">
        <v>3</v>
      </c>
      <c r="AX15" s="58">
        <f t="shared" si="4"/>
        <v>2700</v>
      </c>
      <c r="AY15" s="58">
        <f t="shared" si="5"/>
        <v>2700</v>
      </c>
      <c r="AZ15" s="59">
        <f t="shared" si="0"/>
        <v>0.90389258745663814</v>
      </c>
      <c r="BA15" s="59">
        <f t="shared" si="1"/>
        <v>9.7792448344432739</v>
      </c>
      <c r="BB15" s="59">
        <f t="shared" si="6"/>
        <v>5</v>
      </c>
      <c r="BC15" s="59">
        <f t="shared" si="2"/>
        <v>48.896224172216371</v>
      </c>
      <c r="BD15" s="59">
        <f t="shared" si="7"/>
        <v>0.8</v>
      </c>
      <c r="BE15" s="59">
        <f t="shared" si="8"/>
        <v>5.0265482457436689E-3</v>
      </c>
      <c r="BF15" s="56">
        <f t="shared" si="3"/>
        <v>164.026616338313</v>
      </c>
      <c r="BH15">
        <v>4</v>
      </c>
      <c r="BI15">
        <f t="shared" si="9"/>
        <v>38.41190126582768</v>
      </c>
      <c r="BK15">
        <v>4</v>
      </c>
      <c r="BL15">
        <f t="shared" si="10"/>
        <v>38.385073626427278</v>
      </c>
      <c r="BN15">
        <v>4</v>
      </c>
      <c r="BO15">
        <f t="shared" si="11"/>
        <v>38.349557431204126</v>
      </c>
    </row>
    <row r="16" spans="1:67" ht="15.95" customHeight="1" x14ac:dyDescent="0.25">
      <c r="B16" s="268"/>
      <c r="C16" s="252" t="s">
        <v>248</v>
      </c>
      <c r="D16" s="253"/>
      <c r="E16" s="253"/>
      <c r="F16" s="253"/>
      <c r="G16" s="254"/>
      <c r="H16" s="40" t="s">
        <v>43</v>
      </c>
      <c r="I16" s="30">
        <f>I13*I45</f>
        <v>48.922455172216374</v>
      </c>
      <c r="J16" s="7"/>
      <c r="K16" s="25"/>
      <c r="L16" s="7"/>
      <c r="M16" s="301" t="s">
        <v>44</v>
      </c>
      <c r="N16" s="255" t="s">
        <v>45</v>
      </c>
      <c r="O16" s="255"/>
      <c r="P16" s="255"/>
      <c r="Q16" s="255"/>
      <c r="R16" s="255"/>
      <c r="S16" s="255"/>
      <c r="T16" s="255"/>
      <c r="U16" s="23"/>
      <c r="V16" s="4"/>
      <c r="W16"/>
      <c r="X16"/>
      <c r="Y16"/>
      <c r="AV16" s="37"/>
      <c r="AW16" s="38">
        <v>4</v>
      </c>
      <c r="AX16" s="58">
        <f t="shared" si="4"/>
        <v>2600</v>
      </c>
      <c r="AY16" s="58">
        <f t="shared" si="5"/>
        <v>2600</v>
      </c>
      <c r="AZ16" s="59">
        <f t="shared" si="0"/>
        <v>0.91412676981045871</v>
      </c>
      <c r="BA16" s="59">
        <f t="shared" si="1"/>
        <v>9.7795534344432742</v>
      </c>
      <c r="BB16" s="59">
        <f t="shared" si="6"/>
        <v>5</v>
      </c>
      <c r="BC16" s="59">
        <f t="shared" si="2"/>
        <v>48.897767172216369</v>
      </c>
      <c r="BD16" s="59">
        <f t="shared" si="7"/>
        <v>0.8</v>
      </c>
      <c r="BE16" s="59">
        <f t="shared" si="8"/>
        <v>5.0265482457436689E-3</v>
      </c>
      <c r="BF16" s="56">
        <f t="shared" si="3"/>
        <v>163.10841863746765</v>
      </c>
      <c r="BH16">
        <v>5</v>
      </c>
      <c r="BI16">
        <f t="shared" si="9"/>
        <v>47.538094244855039</v>
      </c>
      <c r="BK16">
        <v>5</v>
      </c>
      <c r="BL16">
        <f t="shared" si="10"/>
        <v>47.483728857858949</v>
      </c>
      <c r="BN16">
        <v>5</v>
      </c>
      <c r="BO16">
        <f t="shared" si="11"/>
        <v>47.412094281105709</v>
      </c>
    </row>
    <row r="17" spans="1:67" ht="15.95" customHeight="1" x14ac:dyDescent="0.25">
      <c r="C17"/>
      <c r="G17"/>
      <c r="H17"/>
      <c r="I17" s="1"/>
      <c r="J17" s="7"/>
      <c r="K17" s="25"/>
      <c r="L17" s="7"/>
      <c r="M17" s="302"/>
      <c r="N17" s="319" t="s">
        <v>33</v>
      </c>
      <c r="O17" s="319"/>
      <c r="P17" s="319"/>
      <c r="Q17" s="319"/>
      <c r="R17" s="319"/>
      <c r="S17" s="85" t="s">
        <v>34</v>
      </c>
      <c r="T17" s="85" t="s">
        <v>35</v>
      </c>
      <c r="U17" s="106"/>
      <c r="V17" s="4"/>
      <c r="W17"/>
      <c r="X17"/>
      <c r="Y17"/>
      <c r="AV17" s="37"/>
      <c r="AW17" s="38">
        <v>5</v>
      </c>
      <c r="AX17" s="58">
        <f t="shared" si="4"/>
        <v>2500</v>
      </c>
      <c r="AY17" s="58">
        <f t="shared" si="5"/>
        <v>2500</v>
      </c>
      <c r="AZ17" s="59">
        <f t="shared" si="0"/>
        <v>0.92447682709223489</v>
      </c>
      <c r="BA17" s="59">
        <f t="shared" si="1"/>
        <v>9.7798620344432745</v>
      </c>
      <c r="BB17" s="59">
        <f t="shared" si="6"/>
        <v>5</v>
      </c>
      <c r="BC17" s="59">
        <f t="shared" si="2"/>
        <v>48.899310172216374</v>
      </c>
      <c r="BD17" s="59">
        <f t="shared" si="7"/>
        <v>0.8</v>
      </c>
      <c r="BE17" s="59">
        <f t="shared" si="8"/>
        <v>5.0265482457436689E-3</v>
      </c>
      <c r="BF17" s="56">
        <f t="shared" si="3"/>
        <v>162.19536079618237</v>
      </c>
      <c r="BH17">
        <v>6</v>
      </c>
      <c r="BI17">
        <f t="shared" si="9"/>
        <v>56.364726144442322</v>
      </c>
      <c r="BK17">
        <v>6</v>
      </c>
      <c r="BL17">
        <f t="shared" si="10"/>
        <v>56.270572560501002</v>
      </c>
      <c r="BN17">
        <v>6</v>
      </c>
      <c r="BO17">
        <f t="shared" si="11"/>
        <v>56.146906864553955</v>
      </c>
    </row>
    <row r="18" spans="1:67" ht="15.95" customHeight="1" x14ac:dyDescent="0.25">
      <c r="B18" s="281" t="s">
        <v>46</v>
      </c>
      <c r="C18" s="255" t="s">
        <v>256</v>
      </c>
      <c r="D18" s="255"/>
      <c r="E18" s="255"/>
      <c r="F18" s="255"/>
      <c r="G18" s="255"/>
      <c r="H18" s="255"/>
      <c r="I18" s="255"/>
      <c r="J18" s="7"/>
      <c r="K18" s="25"/>
      <c r="L18" s="7"/>
      <c r="M18" s="302"/>
      <c r="N18" s="320" t="s">
        <v>247</v>
      </c>
      <c r="O18" s="320"/>
      <c r="P18" s="320"/>
      <c r="Q18" s="320"/>
      <c r="R18" s="320"/>
      <c r="S18" s="74" t="s">
        <v>42</v>
      </c>
      <c r="T18" s="93">
        <f>SQRT(4*T13/PI())</f>
        <v>1.2404724049165081</v>
      </c>
      <c r="U18" s="181"/>
      <c r="V18" s="4"/>
      <c r="W18" s="4"/>
      <c r="X18"/>
      <c r="Y18"/>
      <c r="AV18" s="37"/>
      <c r="AW18" s="38">
        <v>6</v>
      </c>
      <c r="AX18" s="58">
        <f t="shared" si="4"/>
        <v>2400</v>
      </c>
      <c r="AY18" s="58">
        <f t="shared" si="5"/>
        <v>2400</v>
      </c>
      <c r="AZ18" s="59">
        <f t="shared" si="0"/>
        <v>0.93494407127770307</v>
      </c>
      <c r="BA18" s="59">
        <f t="shared" si="1"/>
        <v>9.7801706344432731</v>
      </c>
      <c r="BB18" s="59">
        <f t="shared" si="6"/>
        <v>5</v>
      </c>
      <c r="BC18" s="59">
        <f t="shared" si="2"/>
        <v>48.900853172216365</v>
      </c>
      <c r="BD18" s="59">
        <f t="shared" si="7"/>
        <v>0.8</v>
      </c>
      <c r="BE18" s="59">
        <f t="shared" si="8"/>
        <v>5.0265482457436689E-3</v>
      </c>
      <c r="BF18" s="56">
        <f t="shared" si="3"/>
        <v>161.2874140431625</v>
      </c>
      <c r="BH18">
        <v>7</v>
      </c>
      <c r="BI18">
        <f t="shared" si="9"/>
        <v>64.848878242172475</v>
      </c>
      <c r="BK18">
        <v>7</v>
      </c>
      <c r="BL18">
        <f t="shared" si="10"/>
        <v>64.701695280645708</v>
      </c>
      <c r="BN18">
        <v>7</v>
      </c>
      <c r="BO18">
        <f t="shared" si="11"/>
        <v>64.508894634335746</v>
      </c>
    </row>
    <row r="19" spans="1:67" ht="15.95" customHeight="1" x14ac:dyDescent="0.25">
      <c r="B19" s="282"/>
      <c r="C19" s="259" t="s">
        <v>33</v>
      </c>
      <c r="D19" s="260"/>
      <c r="E19" s="260"/>
      <c r="F19" s="260"/>
      <c r="G19" s="261"/>
      <c r="H19" s="85" t="s">
        <v>34</v>
      </c>
      <c r="I19" s="85" t="s">
        <v>35</v>
      </c>
      <c r="J19" s="7"/>
      <c r="K19" s="25"/>
      <c r="L19" s="7"/>
      <c r="M19" s="302"/>
      <c r="N19" s="321" t="s">
        <v>47</v>
      </c>
      <c r="O19" s="321"/>
      <c r="P19" s="321"/>
      <c r="Q19" s="321"/>
      <c r="R19" s="321"/>
      <c r="S19" s="40" t="s">
        <v>42</v>
      </c>
      <c r="T19" s="30">
        <f>2*PI()*(T18/2)</f>
        <v>3.897058994266565</v>
      </c>
      <c r="U19" s="7"/>
      <c r="V19" s="4"/>
      <c r="W19" s="4"/>
      <c r="X19"/>
      <c r="Y19"/>
      <c r="AV19" s="37"/>
      <c r="AW19" s="38">
        <v>7</v>
      </c>
      <c r="AX19" s="58">
        <f t="shared" si="4"/>
        <v>2300</v>
      </c>
      <c r="AY19" s="58">
        <f t="shared" si="5"/>
        <v>2300</v>
      </c>
      <c r="AZ19" s="59">
        <f t="shared" si="0"/>
        <v>0.94552982919723949</v>
      </c>
      <c r="BA19" s="59">
        <f t="shared" si="1"/>
        <v>9.7804792344432734</v>
      </c>
      <c r="BB19" s="59">
        <f t="shared" si="6"/>
        <v>5</v>
      </c>
      <c r="BC19" s="59">
        <f t="shared" si="2"/>
        <v>48.90239617221637</v>
      </c>
      <c r="BD19" s="59">
        <f t="shared" si="7"/>
        <v>0.8</v>
      </c>
      <c r="BE19" s="59">
        <f t="shared" si="8"/>
        <v>5.0265482457436689E-3</v>
      </c>
      <c r="BF19" s="56">
        <f t="shared" si="3"/>
        <v>160.3845497681634</v>
      </c>
      <c r="BH19">
        <v>8</v>
      </c>
      <c r="BI19">
        <f t="shared" si="9"/>
        <v>72.955391124536547</v>
      </c>
      <c r="BK19">
        <v>8</v>
      </c>
      <c r="BL19">
        <f t="shared" si="10"/>
        <v>72.741543845560031</v>
      </c>
      <c r="BN19">
        <v>8</v>
      </c>
      <c r="BO19">
        <f t="shared" si="11"/>
        <v>72.46211491277495</v>
      </c>
    </row>
    <row r="20" spans="1:67" ht="15.95" customHeight="1" x14ac:dyDescent="0.25">
      <c r="B20" s="282"/>
      <c r="C20" s="294" t="s">
        <v>260</v>
      </c>
      <c r="D20" s="295"/>
      <c r="E20" s="295"/>
      <c r="F20" s="295"/>
      <c r="G20" s="296"/>
      <c r="H20" s="36" t="s">
        <v>42</v>
      </c>
      <c r="I20" s="31">
        <v>0</v>
      </c>
      <c r="J20" s="7"/>
      <c r="K20" s="25"/>
      <c r="L20" s="7"/>
      <c r="M20" s="302"/>
      <c r="N20" s="321" t="s">
        <v>155</v>
      </c>
      <c r="O20" s="321"/>
      <c r="P20" s="321"/>
      <c r="Q20" s="321"/>
      <c r="R20" s="321"/>
      <c r="S20" s="40" t="s">
        <v>38</v>
      </c>
      <c r="T20" s="30">
        <f>(T18/2)^2*5.099</f>
        <v>1.9615493359363256</v>
      </c>
      <c r="U20" s="7"/>
      <c r="V20" s="4"/>
      <c r="W20" s="4"/>
      <c r="X20"/>
      <c r="Y20"/>
      <c r="AV20" s="37"/>
      <c r="AW20" s="38">
        <v>8</v>
      </c>
      <c r="AX20" s="58">
        <f t="shared" si="4"/>
        <v>2200</v>
      </c>
      <c r="AY20" s="58">
        <f t="shared" si="5"/>
        <v>2200</v>
      </c>
      <c r="AZ20" s="59">
        <f t="shared" si="0"/>
        <v>0.95623544270404959</v>
      </c>
      <c r="BA20" s="59">
        <f t="shared" si="1"/>
        <v>9.7807878344432737</v>
      </c>
      <c r="BB20" s="59">
        <f t="shared" si="6"/>
        <v>5</v>
      </c>
      <c r="BC20" s="59">
        <f t="shared" si="2"/>
        <v>48.903939172216369</v>
      </c>
      <c r="BD20" s="59">
        <f t="shared" si="7"/>
        <v>0.8</v>
      </c>
      <c r="BE20" s="59">
        <f t="shared" si="8"/>
        <v>5.0265482457436689E-3</v>
      </c>
      <c r="BF20" s="56">
        <f t="shared" si="3"/>
        <v>159.48673952108879</v>
      </c>
      <c r="BH20">
        <v>9</v>
      </c>
      <c r="BI20">
        <f t="shared" si="9"/>
        <v>80.657094154396773</v>
      </c>
      <c r="BK20">
        <v>9</v>
      </c>
      <c r="BL20">
        <f t="shared" si="10"/>
        <v>80.363119198255092</v>
      </c>
      <c r="BN20">
        <v>9</v>
      </c>
      <c r="BO20">
        <f t="shared" si="11"/>
        <v>79.979929107933913</v>
      </c>
    </row>
    <row r="21" spans="1:67" ht="15.95" customHeight="1" x14ac:dyDescent="0.25">
      <c r="A21" s="3"/>
      <c r="B21" s="282"/>
      <c r="C21" s="294" t="s">
        <v>257</v>
      </c>
      <c r="D21" s="295"/>
      <c r="E21" s="295"/>
      <c r="F21" s="295"/>
      <c r="G21" s="296"/>
      <c r="H21" s="36" t="s">
        <v>48</v>
      </c>
      <c r="I21" s="44">
        <v>-22</v>
      </c>
      <c r="J21" s="7"/>
      <c r="K21" s="25"/>
      <c r="L21" s="7"/>
      <c r="M21" s="20"/>
      <c r="N21" s="41"/>
      <c r="O21" s="41"/>
      <c r="P21" s="41"/>
      <c r="Q21" s="41"/>
      <c r="R21" s="41"/>
      <c r="S21" s="41"/>
      <c r="T21" s="32"/>
      <c r="U21" s="5"/>
      <c r="V21" s="4"/>
      <c r="W21" s="4"/>
      <c r="X21"/>
      <c r="Y21"/>
      <c r="AV21" s="37"/>
      <c r="AW21" s="38">
        <v>9</v>
      </c>
      <c r="AX21" s="58">
        <f t="shared" si="4"/>
        <v>2100</v>
      </c>
      <c r="AY21" s="58">
        <f t="shared" si="5"/>
        <v>2100</v>
      </c>
      <c r="AZ21" s="59">
        <f t="shared" si="0"/>
        <v>0.96706226884426172</v>
      </c>
      <c r="BA21" s="59">
        <f t="shared" si="1"/>
        <v>9.781096434443274</v>
      </c>
      <c r="BB21" s="59">
        <f t="shared" si="6"/>
        <v>5</v>
      </c>
      <c r="BC21" s="59">
        <f t="shared" si="2"/>
        <v>48.905482172216367</v>
      </c>
      <c r="BD21" s="59">
        <f t="shared" si="7"/>
        <v>0.8</v>
      </c>
      <c r="BE21" s="59">
        <f t="shared" si="8"/>
        <v>5.0265482457436689E-3</v>
      </c>
      <c r="BF21" s="56">
        <f>SQRT((2*BC21)/(AZ21*BD21*BE21))</f>
        <v>158.59395501109461</v>
      </c>
      <c r="BH21">
        <v>10</v>
      </c>
      <c r="BI21">
        <f t="shared" si="9"/>
        <v>87.934719197750127</v>
      </c>
      <c r="BK21">
        <v>10</v>
      </c>
      <c r="BL21">
        <f t="shared" si="10"/>
        <v>87.54782764486113</v>
      </c>
      <c r="BN21">
        <v>10</v>
      </c>
      <c r="BO21">
        <f t="shared" si="11"/>
        <v>87.044760748713514</v>
      </c>
    </row>
    <row r="22" spans="1:67" s="3" customFormat="1" ht="15.95" customHeight="1" x14ac:dyDescent="0.25">
      <c r="A22"/>
      <c r="B22" s="282"/>
      <c r="C22" s="252" t="s">
        <v>49</v>
      </c>
      <c r="D22" s="253"/>
      <c r="E22" s="253"/>
      <c r="F22" s="253"/>
      <c r="G22" s="254"/>
      <c r="H22" s="40" t="s">
        <v>50</v>
      </c>
      <c r="I22" s="30">
        <f>1.225*EXP(-(I20/1000)/8.882)</f>
        <v>1.2250000000000001</v>
      </c>
      <c r="J22" s="7"/>
      <c r="K22" s="25"/>
      <c r="L22" s="7"/>
      <c r="M22" s="20"/>
      <c r="N22" s="41"/>
      <c r="O22" s="41"/>
      <c r="P22" s="41"/>
      <c r="Q22" s="41"/>
      <c r="R22" s="41"/>
      <c r="S22" s="41"/>
      <c r="T22" s="32"/>
      <c r="U22" s="7"/>
      <c r="V22" s="4"/>
      <c r="W22" s="4"/>
      <c r="X22"/>
      <c r="Y22"/>
      <c r="AV22" s="54" t="s">
        <v>51</v>
      </c>
      <c r="AW22" s="60">
        <v>10</v>
      </c>
      <c r="AX22" s="55">
        <f>I36</f>
        <v>2000</v>
      </c>
      <c r="AY22" s="55">
        <f t="shared" si="5"/>
        <v>2000</v>
      </c>
      <c r="AZ22" s="57">
        <f t="shared" si="0"/>
        <v>0.97801168002894667</v>
      </c>
      <c r="BA22" s="57">
        <f t="shared" si="1"/>
        <v>9.7814050344432744</v>
      </c>
      <c r="BB22" s="57">
        <f t="shared" si="6"/>
        <v>5</v>
      </c>
      <c r="BC22" s="57">
        <f t="shared" si="2"/>
        <v>48.907025172216372</v>
      </c>
      <c r="BD22" s="57">
        <f>$I$49</f>
        <v>1.5</v>
      </c>
      <c r="BE22" s="57">
        <f>$T$13</f>
        <v>1.2085485356798384</v>
      </c>
      <c r="BF22" s="61">
        <f t="shared" si="3"/>
        <v>7.4276413092805909</v>
      </c>
      <c r="BH22">
        <v>11</v>
      </c>
      <c r="BI22">
        <f t="shared" si="9"/>
        <v>94.776542525300044</v>
      </c>
      <c r="BK22">
        <v>11</v>
      </c>
      <c r="BL22">
        <f t="shared" si="10"/>
        <v>94.285038423588915</v>
      </c>
      <c r="BN22">
        <v>11</v>
      </c>
      <c r="BO22">
        <f t="shared" si="11"/>
        <v>93.647531607568894</v>
      </c>
    </row>
    <row r="23" spans="1:67" ht="15.95" customHeight="1" x14ac:dyDescent="0.25">
      <c r="B23" s="282"/>
      <c r="C23" s="252" t="s">
        <v>52</v>
      </c>
      <c r="D23" s="253"/>
      <c r="E23" s="253"/>
      <c r="F23" s="253"/>
      <c r="G23" s="254"/>
      <c r="H23" s="40" t="s">
        <v>53</v>
      </c>
      <c r="I23" s="30">
        <f>9.780327*(1+0.0053024*((SIN($I$21*PI()/180))^2)-0.0000058*((SIN(2*$I$21*PI()/180))^2))-0.000003086*I20</f>
        <v>9.7875770344432738</v>
      </c>
      <c r="J23" s="7"/>
      <c r="K23" s="25"/>
      <c r="L23" s="7"/>
      <c r="M23" s="20"/>
      <c r="N23" s="41"/>
      <c r="O23" s="41"/>
      <c r="P23" s="41"/>
      <c r="Q23" s="41"/>
      <c r="R23" s="41"/>
      <c r="S23" s="41"/>
      <c r="T23" s="32"/>
      <c r="U23" s="7"/>
      <c r="V23" s="4"/>
      <c r="W23" s="4"/>
      <c r="X23"/>
      <c r="Y23"/>
      <c r="AV23" s="37"/>
      <c r="AW23" s="38">
        <v>11</v>
      </c>
      <c r="AX23" s="38">
        <f t="shared" ref="AX23:AX31" si="12">AX22-($AX$22-$AX$32)/10</f>
        <v>1900</v>
      </c>
      <c r="AY23" s="58">
        <f t="shared" si="5"/>
        <v>1900</v>
      </c>
      <c r="AZ23" s="59">
        <f t="shared" si="0"/>
        <v>0.98908506420808484</v>
      </c>
      <c r="BA23" s="59">
        <f t="shared" si="1"/>
        <v>9.7817136344432729</v>
      </c>
      <c r="BB23" s="59">
        <f t="shared" si="6"/>
        <v>5</v>
      </c>
      <c r="BC23" s="59">
        <f t="shared" si="2"/>
        <v>48.908568172216363</v>
      </c>
      <c r="BD23" s="59">
        <f t="shared" ref="BD23:BD42" si="13">$I$49</f>
        <v>1.5</v>
      </c>
      <c r="BE23" s="59">
        <f t="shared" ref="BE23:BE42" si="14">$T$13</f>
        <v>1.2085485356798384</v>
      </c>
      <c r="BF23" s="56">
        <f t="shared" si="3"/>
        <v>7.3860624024748818</v>
      </c>
      <c r="BH23">
        <v>12</v>
      </c>
      <c r="BI23">
        <f t="shared" si="9"/>
        <v>101.17780993323757</v>
      </c>
      <c r="BK23">
        <v>12</v>
      </c>
      <c r="BL23">
        <f t="shared" si="10"/>
        <v>100.57141214440344</v>
      </c>
      <c r="BN23">
        <v>12</v>
      </c>
      <c r="BO23">
        <f t="shared" si="11"/>
        <v>99.786854208491945</v>
      </c>
    </row>
    <row r="24" spans="1:67" ht="15.95" customHeight="1" x14ac:dyDescent="0.25">
      <c r="B24" s="3"/>
      <c r="C24" s="3"/>
      <c r="D24" s="3"/>
      <c r="E24" s="3"/>
      <c r="F24" s="3"/>
      <c r="G24" s="3"/>
      <c r="H24" s="3"/>
      <c r="I24" s="3"/>
      <c r="J24" s="7"/>
      <c r="K24" s="25"/>
      <c r="L24" s="7"/>
      <c r="M24" s="20"/>
      <c r="N24" s="41"/>
      <c r="O24" s="41"/>
      <c r="P24" s="41"/>
      <c r="Q24" s="41"/>
      <c r="R24" s="41"/>
      <c r="S24" s="41"/>
      <c r="T24" s="32"/>
      <c r="U24" s="102"/>
      <c r="V24" s="182"/>
      <c r="W24" s="4"/>
      <c r="X24"/>
      <c r="Y24" s="4"/>
      <c r="AV24" s="37"/>
      <c r="AW24" s="38">
        <v>12</v>
      </c>
      <c r="AX24" s="38">
        <f t="shared" si="12"/>
        <v>1800</v>
      </c>
      <c r="AY24" s="58">
        <f t="shared" si="5"/>
        <v>1800</v>
      </c>
      <c r="AZ24" s="59">
        <f t="shared" si="0"/>
        <v>1.0002838250465029</v>
      </c>
      <c r="BA24" s="59">
        <f t="shared" si="1"/>
        <v>9.7820222344432732</v>
      </c>
      <c r="BB24" s="59">
        <f t="shared" si="6"/>
        <v>5</v>
      </c>
      <c r="BC24" s="59">
        <f t="shared" si="2"/>
        <v>48.910111172216368</v>
      </c>
      <c r="BD24" s="59">
        <f t="shared" si="13"/>
        <v>1.5</v>
      </c>
      <c r="BE24" s="59">
        <f t="shared" si="14"/>
        <v>1.2085485356798384</v>
      </c>
      <c r="BF24" s="56">
        <f t="shared" si="3"/>
        <v>7.3447162449727426</v>
      </c>
      <c r="BH24">
        <v>13</v>
      </c>
      <c r="BI24">
        <f t="shared" si="9"/>
        <v>107.14000486874409</v>
      </c>
      <c r="BK24">
        <v>13</v>
      </c>
      <c r="BL24">
        <f t="shared" si="10"/>
        <v>106.41006877254299</v>
      </c>
      <c r="BN24">
        <v>13</v>
      </c>
      <c r="BO24">
        <f t="shared" si="11"/>
        <v>105.46806190100011</v>
      </c>
    </row>
    <row r="25" spans="1:67" ht="15.95" customHeight="1" x14ac:dyDescent="0.25">
      <c r="B25" s="279" t="s">
        <v>54</v>
      </c>
      <c r="C25" s="255" t="s">
        <v>36</v>
      </c>
      <c r="D25" s="255"/>
      <c r="E25" s="255"/>
      <c r="F25" s="255"/>
      <c r="G25" s="255"/>
      <c r="H25" s="255"/>
      <c r="I25" s="255"/>
      <c r="J25" s="7"/>
      <c r="K25" s="25"/>
      <c r="L25" s="7"/>
      <c r="M25" s="20"/>
      <c r="N25"/>
      <c r="O25"/>
      <c r="P25"/>
      <c r="Q25"/>
      <c r="R25"/>
      <c r="S25"/>
      <c r="T25" s="32"/>
      <c r="U25" s="106"/>
      <c r="V25" s="4"/>
      <c r="W25"/>
      <c r="X25" s="3"/>
      <c r="Y25" s="4"/>
      <c r="AV25" s="37"/>
      <c r="AW25" s="38">
        <v>13</v>
      </c>
      <c r="AX25" s="38">
        <f t="shared" si="12"/>
        <v>1700</v>
      </c>
      <c r="AY25" s="58">
        <f t="shared" si="5"/>
        <v>1700</v>
      </c>
      <c r="AZ25" s="59">
        <f t="shared" si="0"/>
        <v>1.0116093821018031</v>
      </c>
      <c r="BA25" s="59">
        <f t="shared" si="1"/>
        <v>9.7823308344432736</v>
      </c>
      <c r="BB25" s="59">
        <f t="shared" si="6"/>
        <v>5</v>
      </c>
      <c r="BC25" s="59">
        <f t="shared" si="2"/>
        <v>48.911654172216366</v>
      </c>
      <c r="BD25" s="59">
        <f t="shared" si="13"/>
        <v>1.5</v>
      </c>
      <c r="BE25" s="59">
        <f t="shared" si="14"/>
        <v>1.2085485356798384</v>
      </c>
      <c r="BF25" s="56">
        <f t="shared" si="3"/>
        <v>7.303601533916976</v>
      </c>
      <c r="BH25">
        <v>14</v>
      </c>
      <c r="BI25">
        <f t="shared" si="9"/>
        <v>112.67001849024929</v>
      </c>
      <c r="BK25">
        <v>14</v>
      </c>
      <c r="BL25">
        <f t="shared" si="10"/>
        <v>111.80966154966505</v>
      </c>
      <c r="BN25">
        <v>14</v>
      </c>
      <c r="BO25">
        <f t="shared" si="11"/>
        <v>110.70215306006278</v>
      </c>
    </row>
    <row r="26" spans="1:67" ht="15.95" customHeight="1" x14ac:dyDescent="0.25">
      <c r="B26" s="280"/>
      <c r="C26" s="259" t="s">
        <v>33</v>
      </c>
      <c r="D26" s="260"/>
      <c r="E26" s="260"/>
      <c r="F26" s="260"/>
      <c r="G26" s="261"/>
      <c r="H26" s="85" t="s">
        <v>34</v>
      </c>
      <c r="I26" s="85" t="s">
        <v>35</v>
      </c>
      <c r="J26" s="7"/>
      <c r="K26" s="25"/>
      <c r="L26" s="7"/>
      <c r="M26" s="20"/>
      <c r="N26" s="41"/>
      <c r="O26" s="41"/>
      <c r="P26" s="41"/>
      <c r="Q26" s="41"/>
      <c r="R26" s="41"/>
      <c r="S26" s="41"/>
      <c r="T26" s="32"/>
      <c r="U26" s="5"/>
      <c r="V26" s="4"/>
      <c r="W26" s="3"/>
      <c r="X26" s="4"/>
      <c r="Y26" s="4"/>
      <c r="AV26" s="37"/>
      <c r="AW26" s="38">
        <v>14</v>
      </c>
      <c r="AX26" s="38">
        <f t="shared" si="12"/>
        <v>1600</v>
      </c>
      <c r="AY26" s="58">
        <f t="shared" si="5"/>
        <v>1600</v>
      </c>
      <c r="AZ26" s="59">
        <f t="shared" si="0"/>
        <v>1.0230631710043059</v>
      </c>
      <c r="BA26" s="59">
        <f t="shared" si="1"/>
        <v>9.7826394344432739</v>
      </c>
      <c r="BB26" s="59">
        <f t="shared" si="6"/>
        <v>5</v>
      </c>
      <c r="BC26" s="59">
        <f t="shared" si="2"/>
        <v>48.913197172216371</v>
      </c>
      <c r="BD26" s="59">
        <f t="shared" si="13"/>
        <v>1.5</v>
      </c>
      <c r="BE26" s="59">
        <f t="shared" si="14"/>
        <v>1.2085485356798384</v>
      </c>
      <c r="BF26" s="56">
        <f t="shared" si="3"/>
        <v>7.2627169737432515</v>
      </c>
      <c r="BH26">
        <v>15</v>
      </c>
      <c r="BI26">
        <f t="shared" si="9"/>
        <v>117.77927540906921</v>
      </c>
      <c r="BK26">
        <v>15</v>
      </c>
      <c r="BL26">
        <f t="shared" si="10"/>
        <v>116.78341619416484</v>
      </c>
      <c r="BN26">
        <v>15</v>
      </c>
      <c r="BO26">
        <f t="shared" si="11"/>
        <v>115.50471604112653</v>
      </c>
    </row>
    <row r="27" spans="1:67" ht="15.95" customHeight="1" x14ac:dyDescent="0.25">
      <c r="B27" s="280"/>
      <c r="C27" s="294" t="s">
        <v>154</v>
      </c>
      <c r="D27" s="295"/>
      <c r="E27" s="295"/>
      <c r="F27" s="295"/>
      <c r="G27" s="296"/>
      <c r="H27" s="36" t="s">
        <v>42</v>
      </c>
      <c r="I27" s="31">
        <v>3000</v>
      </c>
      <c r="J27" s="7"/>
      <c r="K27" s="25"/>
      <c r="L27" s="7"/>
      <c r="M27" s="20"/>
      <c r="N27" s="41"/>
      <c r="O27" s="41"/>
      <c r="P27" s="41"/>
      <c r="Q27" s="41"/>
      <c r="R27" s="41"/>
      <c r="S27" s="41"/>
      <c r="T27" s="32"/>
      <c r="U27" s="5"/>
      <c r="V27" s="4"/>
      <c r="W27" s="4"/>
      <c r="X27" s="4"/>
      <c r="Y27" s="4"/>
      <c r="AV27" s="37"/>
      <c r="AW27" s="38">
        <v>15</v>
      </c>
      <c r="AX27" s="38">
        <f t="shared" si="12"/>
        <v>1500</v>
      </c>
      <c r="AY27" s="58">
        <f t="shared" si="5"/>
        <v>1500</v>
      </c>
      <c r="AZ27" s="59">
        <f t="shared" si="0"/>
        <v>1.0346466436390325</v>
      </c>
      <c r="BA27" s="59">
        <f t="shared" si="1"/>
        <v>9.7829480344432742</v>
      </c>
      <c r="BB27" s="59">
        <f t="shared" si="6"/>
        <v>5</v>
      </c>
      <c r="BC27" s="59">
        <f t="shared" si="2"/>
        <v>48.914740172216369</v>
      </c>
      <c r="BD27" s="59">
        <f t="shared" si="13"/>
        <v>1.5</v>
      </c>
      <c r="BE27" s="59">
        <f t="shared" si="14"/>
        <v>1.2085485356798384</v>
      </c>
      <c r="BF27" s="56">
        <f t="shared" si="3"/>
        <v>7.2220612761392786</v>
      </c>
      <c r="BH27">
        <v>16</v>
      </c>
      <c r="BI27">
        <f t="shared" si="9"/>
        <v>122.48286080423902</v>
      </c>
      <c r="BK27">
        <v>16</v>
      </c>
      <c r="BL27">
        <f t="shared" si="10"/>
        <v>121.34818468501237</v>
      </c>
      <c r="BN27">
        <v>16</v>
      </c>
      <c r="BO27">
        <f t="shared" si="11"/>
        <v>119.8948885580413</v>
      </c>
    </row>
    <row r="28" spans="1:67" ht="15.95" customHeight="1" x14ac:dyDescent="0.25">
      <c r="B28" s="280"/>
      <c r="C28" s="252" t="s">
        <v>55</v>
      </c>
      <c r="D28" s="253"/>
      <c r="E28" s="253"/>
      <c r="F28" s="253"/>
      <c r="G28" s="254"/>
      <c r="H28" s="40" t="s">
        <v>42</v>
      </c>
      <c r="I28" s="45">
        <f>I20+I27</f>
        <v>3000</v>
      </c>
      <c r="J28" s="7"/>
      <c r="K28" s="25"/>
      <c r="L28" s="7"/>
      <c r="M28" s="20"/>
      <c r="N28" s="41"/>
      <c r="O28" s="41"/>
      <c r="P28" s="41"/>
      <c r="Q28" s="41"/>
      <c r="R28" s="41"/>
      <c r="S28" s="41"/>
      <c r="T28" s="32"/>
      <c r="U28" s="5"/>
      <c r="V28" s="4"/>
      <c r="W28" s="4"/>
      <c r="X28" s="4"/>
      <c r="Y28" s="4"/>
      <c r="AV28" s="37"/>
      <c r="AW28" s="38">
        <v>16</v>
      </c>
      <c r="AX28" s="38">
        <f t="shared" si="12"/>
        <v>1400</v>
      </c>
      <c r="AY28" s="58">
        <f t="shared" si="5"/>
        <v>1400</v>
      </c>
      <c r="AZ28" s="59">
        <f t="shared" si="0"/>
        <v>1.0463612683297434</v>
      </c>
      <c r="BA28" s="59">
        <f t="shared" si="1"/>
        <v>9.7832566344432745</v>
      </c>
      <c r="BB28" s="59">
        <f t="shared" si="6"/>
        <v>5</v>
      </c>
      <c r="BC28" s="59">
        <f t="shared" si="2"/>
        <v>48.916283172216374</v>
      </c>
      <c r="BD28" s="59">
        <f t="shared" si="13"/>
        <v>1.5</v>
      </c>
      <c r="BE28" s="59">
        <f t="shared" si="14"/>
        <v>1.2085485356798384</v>
      </c>
      <c r="BF28" s="56">
        <f t="shared" si="3"/>
        <v>7.1816331600042265</v>
      </c>
      <c r="BH28">
        <v>17</v>
      </c>
      <c r="BI28">
        <f t="shared" si="9"/>
        <v>126.7986850804035</v>
      </c>
      <c r="BK28">
        <v>17</v>
      </c>
      <c r="BL28">
        <f t="shared" si="10"/>
        <v>125.52355157207938</v>
      </c>
      <c r="BN28">
        <v>17</v>
      </c>
      <c r="BO28">
        <f t="shared" si="11"/>
        <v>123.89439117962235</v>
      </c>
    </row>
    <row r="29" spans="1:67" ht="15.95" customHeight="1" x14ac:dyDescent="0.25">
      <c r="B29" s="280"/>
      <c r="C29" s="252" t="s">
        <v>56</v>
      </c>
      <c r="D29" s="253"/>
      <c r="E29" s="253"/>
      <c r="F29" s="253"/>
      <c r="G29" s="254"/>
      <c r="H29" s="40" t="s">
        <v>50</v>
      </c>
      <c r="I29" s="30">
        <f>1.225*EXP(-(I28/1000)/8.882)</f>
        <v>0.87387238954572632</v>
      </c>
      <c r="J29" s="7"/>
      <c r="K29" s="25"/>
      <c r="L29" s="7"/>
      <c r="M29" s="20"/>
      <c r="N29" s="41"/>
      <c r="O29" s="41"/>
      <c r="P29" s="41"/>
      <c r="Q29" s="41"/>
      <c r="R29" s="41"/>
      <c r="S29" s="41"/>
      <c r="T29" s="32"/>
      <c r="U29" s="5"/>
      <c r="V29" s="4"/>
      <c r="W29" s="4"/>
      <c r="X29" s="4"/>
      <c r="Y29" s="4"/>
      <c r="AV29" s="37"/>
      <c r="AW29" s="38">
        <v>17</v>
      </c>
      <c r="AX29" s="38">
        <f t="shared" si="12"/>
        <v>1300</v>
      </c>
      <c r="AY29" s="58">
        <f t="shared" si="5"/>
        <v>1300</v>
      </c>
      <c r="AZ29" s="59">
        <f t="shared" si="0"/>
        <v>1.0582085300250663</v>
      </c>
      <c r="BA29" s="59">
        <f t="shared" si="1"/>
        <v>9.7835652344432731</v>
      </c>
      <c r="BB29" s="59">
        <f t="shared" si="6"/>
        <v>5</v>
      </c>
      <c r="BC29" s="59">
        <f t="shared" si="2"/>
        <v>48.917826172216365</v>
      </c>
      <c r="BD29" s="59">
        <f t="shared" si="13"/>
        <v>1.5</v>
      </c>
      <c r="BE29" s="59">
        <f t="shared" si="14"/>
        <v>1.2085485356798384</v>
      </c>
      <c r="BF29" s="56">
        <f t="shared" si="3"/>
        <v>7.1414313514083432</v>
      </c>
      <c r="BH29">
        <v>18</v>
      </c>
      <c r="BI29">
        <f t="shared" si="9"/>
        <v>130.74671243807248</v>
      </c>
      <c r="BK29">
        <v>18</v>
      </c>
      <c r="BL29">
        <f t="shared" si="10"/>
        <v>129.33101942329651</v>
      </c>
      <c r="BN29">
        <v>18</v>
      </c>
      <c r="BO29">
        <f t="shared" si="11"/>
        <v>127.52666122092067</v>
      </c>
    </row>
    <row r="30" spans="1:67" ht="15.95" customHeight="1" x14ac:dyDescent="0.25">
      <c r="B30" s="280"/>
      <c r="C30" s="252" t="s">
        <v>57</v>
      </c>
      <c r="D30" s="253"/>
      <c r="E30" s="253"/>
      <c r="F30" s="253"/>
      <c r="G30" s="254"/>
      <c r="H30" s="40" t="s">
        <v>53</v>
      </c>
      <c r="I30" s="30">
        <f>9.780327*(1+0.0053024*((SIN($I$21*PI()/180))^2)-0.0000058*((SIN(2*$I$21*PI()/180))^2))-0.000003086*I28</f>
        <v>9.7783190344432729</v>
      </c>
      <c r="J30" s="7"/>
      <c r="K30" s="25"/>
      <c r="L30" s="7"/>
      <c r="M30" s="20"/>
      <c r="N30" s="41"/>
      <c r="O30" s="41"/>
      <c r="P30" s="41"/>
      <c r="Q30" s="41"/>
      <c r="R30" s="41"/>
      <c r="S30" s="41"/>
      <c r="T30" s="32"/>
      <c r="U30" s="5"/>
      <c r="V30" s="4"/>
      <c r="W30" s="4"/>
      <c r="X30" s="4"/>
      <c r="Y30" s="4"/>
      <c r="AV30" s="37"/>
      <c r="AW30" s="38">
        <v>18</v>
      </c>
      <c r="AX30" s="38">
        <f t="shared" si="12"/>
        <v>1200</v>
      </c>
      <c r="AY30" s="58">
        <f t="shared" si="5"/>
        <v>1200</v>
      </c>
      <c r="AZ30" s="59">
        <f t="shared" si="0"/>
        <v>1.0701899304867273</v>
      </c>
      <c r="BA30" s="59">
        <f t="shared" si="1"/>
        <v>9.7838738344432734</v>
      </c>
      <c r="BB30" s="59">
        <f t="shared" si="6"/>
        <v>5</v>
      </c>
      <c r="BC30" s="59">
        <f t="shared" si="2"/>
        <v>48.919369172216363</v>
      </c>
      <c r="BD30" s="59">
        <f t="shared" si="13"/>
        <v>1.5</v>
      </c>
      <c r="BE30" s="59">
        <f t="shared" si="14"/>
        <v>1.2085485356798384</v>
      </c>
      <c r="BF30" s="56">
        <f t="shared" si="3"/>
        <v>7.1014545835528233</v>
      </c>
      <c r="BH30">
        <v>19</v>
      </c>
      <c r="BI30">
        <f t="shared" si="9"/>
        <v>134.34827053619719</v>
      </c>
      <c r="BK30">
        <v>19</v>
      </c>
      <c r="BL30">
        <f t="shared" si="10"/>
        <v>132.79328968133521</v>
      </c>
      <c r="BN30">
        <v>19</v>
      </c>
      <c r="BO30">
        <f t="shared" si="11"/>
        <v>130.81610148114629</v>
      </c>
    </row>
    <row r="31" spans="1:67" ht="15.95" customHeight="1" x14ac:dyDescent="0.25">
      <c r="C31"/>
      <c r="G31"/>
      <c r="H31"/>
      <c r="I31" s="1"/>
      <c r="J31" s="7"/>
      <c r="K31" s="25"/>
      <c r="L31" s="7"/>
      <c r="M31" s="20"/>
      <c r="N31" s="41"/>
      <c r="O31" s="41"/>
      <c r="P31" s="41"/>
      <c r="Q31" s="41"/>
      <c r="R31" s="41"/>
      <c r="S31" s="41"/>
      <c r="T31" s="32"/>
      <c r="U31" s="5"/>
      <c r="V31" s="4"/>
      <c r="W31" s="4"/>
      <c r="X31" s="4"/>
      <c r="Y31" s="4"/>
      <c r="AV31" s="37"/>
      <c r="AW31" s="38">
        <v>19</v>
      </c>
      <c r="AX31" s="38">
        <f t="shared" si="12"/>
        <v>1100</v>
      </c>
      <c r="AY31" s="58">
        <f t="shared" si="5"/>
        <v>1100</v>
      </c>
      <c r="AZ31" s="59">
        <f t="shared" si="0"/>
        <v>1.0823069884799141</v>
      </c>
      <c r="BA31" s="59">
        <f t="shared" si="1"/>
        <v>9.7841824344432737</v>
      </c>
      <c r="BB31" s="59">
        <f t="shared" si="6"/>
        <v>5</v>
      </c>
      <c r="BC31" s="59">
        <f t="shared" si="2"/>
        <v>48.920912172216369</v>
      </c>
      <c r="BD31" s="59">
        <f t="shared" si="13"/>
        <v>1.5</v>
      </c>
      <c r="BE31" s="59">
        <f t="shared" si="14"/>
        <v>1.2085485356798384</v>
      </c>
      <c r="BF31" s="56">
        <f t="shared" si="3"/>
        <v>7.0617015967298924</v>
      </c>
      <c r="BH31">
        <v>20</v>
      </c>
      <c r="BI31">
        <f t="shared" si="9"/>
        <v>137.62545042466846</v>
      </c>
      <c r="BK31">
        <v>20</v>
      </c>
      <c r="BL31">
        <f t="shared" si="10"/>
        <v>135.9336464416136</v>
      </c>
      <c r="BN31">
        <v>20</v>
      </c>
      <c r="BO31">
        <f t="shared" si="11"/>
        <v>133.78744861004421</v>
      </c>
    </row>
    <row r="32" spans="1:67" ht="15.95" customHeight="1" x14ac:dyDescent="0.25">
      <c r="B32" s="283" t="s">
        <v>58</v>
      </c>
      <c r="C32" s="255" t="s">
        <v>252</v>
      </c>
      <c r="D32" s="255"/>
      <c r="E32" s="255"/>
      <c r="F32" s="255"/>
      <c r="G32" s="255"/>
      <c r="H32" s="255"/>
      <c r="I32" s="255"/>
      <c r="J32" s="7"/>
      <c r="K32" s="25"/>
      <c r="L32" s="7"/>
      <c r="M32" s="20"/>
      <c r="N32" s="41"/>
      <c r="O32" s="41"/>
      <c r="P32" s="41"/>
      <c r="Q32" s="41"/>
      <c r="R32" s="41"/>
      <c r="S32" s="41"/>
      <c r="T32" s="32"/>
      <c r="U32" s="5"/>
      <c r="V32" s="4"/>
      <c r="W32" s="4"/>
      <c r="X32" s="4"/>
      <c r="Y32" s="4"/>
      <c r="AV32" s="54" t="s">
        <v>59</v>
      </c>
      <c r="AW32" s="60">
        <v>20</v>
      </c>
      <c r="AX32" s="55">
        <f>I43</f>
        <v>1000</v>
      </c>
      <c r="AY32" s="55">
        <f t="shared" si="5"/>
        <v>1000</v>
      </c>
      <c r="AZ32" s="57">
        <f t="shared" si="0"/>
        <v>1.0945612399657956</v>
      </c>
      <c r="BA32" s="57">
        <f t="shared" si="1"/>
        <v>9.7844910344432741</v>
      </c>
      <c r="BB32" s="57">
        <f t="shared" si="6"/>
        <v>5</v>
      </c>
      <c r="BC32" s="57">
        <f t="shared" si="2"/>
        <v>48.922455172216374</v>
      </c>
      <c r="BD32" s="57">
        <f t="shared" si="13"/>
        <v>1.5</v>
      </c>
      <c r="BE32" s="57">
        <f t="shared" si="14"/>
        <v>1.2085485356798384</v>
      </c>
      <c r="BF32" s="80">
        <f t="shared" si="3"/>
        <v>7.0221711382831122</v>
      </c>
      <c r="BH32">
        <v>21</v>
      </c>
      <c r="BI32">
        <f t="shared" si="9"/>
        <v>140.60059940271799</v>
      </c>
      <c r="BK32">
        <v>21</v>
      </c>
      <c r="BL32">
        <f t="shared" si="10"/>
        <v>138.77544373120796</v>
      </c>
      <c r="BN32">
        <v>21</v>
      </c>
      <c r="BO32">
        <f t="shared" si="11"/>
        <v>136.46525853460193</v>
      </c>
    </row>
    <row r="33" spans="1:67" ht="15.95" customHeight="1" x14ac:dyDescent="0.25">
      <c r="B33" s="284"/>
      <c r="C33" s="256" t="s">
        <v>33</v>
      </c>
      <c r="D33" s="257"/>
      <c r="E33" s="257"/>
      <c r="F33" s="257"/>
      <c r="G33" s="258"/>
      <c r="H33" s="85" t="s">
        <v>34</v>
      </c>
      <c r="I33" s="85" t="s">
        <v>35</v>
      </c>
      <c r="J33" s="7"/>
      <c r="K33" s="25"/>
      <c r="L33" s="7"/>
      <c r="M33" s="20"/>
      <c r="N33" s="41"/>
      <c r="O33" s="41"/>
      <c r="P33" s="41"/>
      <c r="Q33" s="41"/>
      <c r="R33" s="41"/>
      <c r="S33" s="41"/>
      <c r="T33" s="32"/>
      <c r="U33" s="5"/>
      <c r="V33" s="4"/>
      <c r="W33" s="4"/>
      <c r="X33" s="4"/>
      <c r="Y33" s="4"/>
      <c r="AV33" s="37"/>
      <c r="AW33" s="38">
        <v>21</v>
      </c>
      <c r="AX33" s="38">
        <f t="shared" ref="AX33:AX41" si="15">AX32-($AX$32-$AX$42)/10</f>
        <v>900</v>
      </c>
      <c r="AY33" s="58">
        <f t="shared" si="5"/>
        <v>900</v>
      </c>
      <c r="AZ33" s="59">
        <f t="shared" si="0"/>
        <v>1.1069542382962207</v>
      </c>
      <c r="BA33" s="59">
        <f t="shared" si="1"/>
        <v>9.7847996344432744</v>
      </c>
      <c r="BB33" s="59">
        <f t="shared" si="6"/>
        <v>5</v>
      </c>
      <c r="BC33" s="59">
        <f t="shared" si="2"/>
        <v>48.923998172216372</v>
      </c>
      <c r="BD33" s="59">
        <f t="shared" si="13"/>
        <v>1.5</v>
      </c>
      <c r="BE33" s="59">
        <f t="shared" si="14"/>
        <v>1.2085485356798384</v>
      </c>
      <c r="BF33" s="56">
        <f t="shared" si="3"/>
        <v>6.982861962567914</v>
      </c>
      <c r="BH33">
        <v>22</v>
      </c>
      <c r="BI33">
        <f t="shared" si="9"/>
        <v>143.29590448784185</v>
      </c>
      <c r="BK33">
        <v>22</v>
      </c>
      <c r="BL33">
        <f t="shared" si="10"/>
        <v>141.34169176662635</v>
      </c>
      <c r="BN33">
        <v>22</v>
      </c>
      <c r="BO33">
        <f t="shared" si="11"/>
        <v>138.87350123590227</v>
      </c>
    </row>
    <row r="34" spans="1:67" ht="15.95" customHeight="1" x14ac:dyDescent="0.3">
      <c r="B34" s="285"/>
      <c r="C34" s="286" t="s">
        <v>253</v>
      </c>
      <c r="D34" s="287"/>
      <c r="E34" s="287"/>
      <c r="F34" s="287"/>
      <c r="G34" s="288"/>
      <c r="H34" s="262" t="s">
        <v>42</v>
      </c>
      <c r="I34" s="264">
        <v>2000</v>
      </c>
      <c r="J34" s="7"/>
      <c r="K34" s="26"/>
      <c r="L34" s="4"/>
      <c r="M34" s="20"/>
      <c r="N34" s="41"/>
      <c r="O34" s="41"/>
      <c r="P34" s="41"/>
      <c r="Q34" s="41"/>
      <c r="R34" s="41"/>
      <c r="S34" s="41"/>
      <c r="T34" s="32"/>
      <c r="U34" s="5"/>
      <c r="V34" s="4"/>
      <c r="W34" s="4"/>
      <c r="X34" s="4"/>
      <c r="Y34"/>
      <c r="AV34" s="37"/>
      <c r="AW34" s="38">
        <v>22</v>
      </c>
      <c r="AX34" s="38">
        <f t="shared" si="15"/>
        <v>800</v>
      </c>
      <c r="AY34" s="58">
        <f t="shared" si="5"/>
        <v>800</v>
      </c>
      <c r="AZ34" s="59">
        <f t="shared" si="0"/>
        <v>1.1194875544106218</v>
      </c>
      <c r="BA34" s="59">
        <f t="shared" si="1"/>
        <v>9.7851082344432729</v>
      </c>
      <c r="BB34" s="59">
        <f t="shared" si="6"/>
        <v>5</v>
      </c>
      <c r="BC34" s="59">
        <f t="shared" si="2"/>
        <v>48.925541172216363</v>
      </c>
      <c r="BD34" s="59">
        <f t="shared" si="13"/>
        <v>1.5</v>
      </c>
      <c r="BE34" s="59">
        <f t="shared" si="14"/>
        <v>1.2085485356798384</v>
      </c>
      <c r="BF34" s="56">
        <f t="shared" si="3"/>
        <v>6.9437728309123417</v>
      </c>
      <c r="BH34">
        <v>23</v>
      </c>
      <c r="BI34">
        <f t="shared" si="9"/>
        <v>145.73306067007189</v>
      </c>
      <c r="BK34">
        <v>23</v>
      </c>
      <c r="BL34">
        <f t="shared" si="10"/>
        <v>143.65473423297604</v>
      </c>
      <c r="BN34">
        <v>23</v>
      </c>
      <c r="BO34">
        <f t="shared" si="11"/>
        <v>141.03525394983927</v>
      </c>
    </row>
    <row r="35" spans="1:67" ht="15.95" customHeight="1" x14ac:dyDescent="0.25">
      <c r="B35" s="285"/>
      <c r="C35" s="50" t="s">
        <v>60</v>
      </c>
      <c r="D35" s="47">
        <v>0</v>
      </c>
      <c r="E35" s="46" t="s">
        <v>61</v>
      </c>
      <c r="F35" s="48">
        <f>I27</f>
        <v>3000</v>
      </c>
      <c r="G35" s="51" t="s">
        <v>62</v>
      </c>
      <c r="H35" s="263"/>
      <c r="I35" s="265"/>
      <c r="J35" s="7"/>
      <c r="K35" s="26"/>
      <c r="L35" s="4"/>
      <c r="M35" s="20"/>
      <c r="N35" s="41"/>
      <c r="O35" s="41"/>
      <c r="P35" s="41"/>
      <c r="Q35" s="41"/>
      <c r="R35" s="41"/>
      <c r="S35" s="41"/>
      <c r="T35" s="32"/>
      <c r="U35" s="4"/>
      <c r="V35" s="4"/>
      <c r="W35" s="4"/>
      <c r="X35" s="4"/>
      <c r="Y35"/>
      <c r="AV35" s="37"/>
      <c r="AW35" s="38">
        <v>23</v>
      </c>
      <c r="AX35" s="38">
        <f t="shared" si="15"/>
        <v>700</v>
      </c>
      <c r="AY35" s="58">
        <f t="shared" si="5"/>
        <v>700</v>
      </c>
      <c r="AZ35" s="59">
        <f t="shared" si="0"/>
        <v>1.1321627770351468</v>
      </c>
      <c r="BA35" s="59">
        <f t="shared" si="1"/>
        <v>9.7854168344432733</v>
      </c>
      <c r="BB35" s="59">
        <f t="shared" si="6"/>
        <v>5</v>
      </c>
      <c r="BC35" s="59">
        <f t="shared" si="2"/>
        <v>48.927084172216368</v>
      </c>
      <c r="BD35" s="59">
        <f t="shared" si="13"/>
        <v>1.5</v>
      </c>
      <c r="BE35" s="59">
        <f t="shared" si="14"/>
        <v>1.2085485356798384</v>
      </c>
      <c r="BF35" s="56">
        <f t="shared" si="3"/>
        <v>6.9049025115780367</v>
      </c>
      <c r="BH35">
        <v>24</v>
      </c>
      <c r="BI35">
        <f t="shared" si="9"/>
        <v>147.93301589315396</v>
      </c>
      <c r="BK35">
        <v>24</v>
      </c>
      <c r="BL35">
        <f t="shared" si="10"/>
        <v>145.73600660124157</v>
      </c>
      <c r="BN35">
        <v>24</v>
      </c>
      <c r="BO35">
        <f t="shared" si="11"/>
        <v>142.97248021409953</v>
      </c>
    </row>
    <row r="36" spans="1:67" ht="15.95" customHeight="1" x14ac:dyDescent="0.3">
      <c r="B36" s="284"/>
      <c r="C36" s="276" t="s">
        <v>254</v>
      </c>
      <c r="D36" s="277"/>
      <c r="E36" s="277"/>
      <c r="F36" s="277"/>
      <c r="G36" s="278"/>
      <c r="H36" s="40" t="s">
        <v>42</v>
      </c>
      <c r="I36" s="45">
        <f>I20+I34</f>
        <v>2000</v>
      </c>
      <c r="J36" s="7"/>
      <c r="K36" s="26"/>
      <c r="L36"/>
      <c r="M36" s="20"/>
      <c r="N36" s="41"/>
      <c r="O36" s="41"/>
      <c r="P36" s="41"/>
      <c r="Q36" s="41"/>
      <c r="R36" s="41"/>
      <c r="S36" s="41"/>
      <c r="T36" s="32"/>
      <c r="U36" s="4"/>
      <c r="V36" s="4"/>
      <c r="W36" s="4"/>
      <c r="X36"/>
      <c r="Y36"/>
      <c r="AV36" s="37"/>
      <c r="AW36" s="38">
        <v>24</v>
      </c>
      <c r="AX36" s="38">
        <f t="shared" si="15"/>
        <v>600</v>
      </c>
      <c r="AY36" s="58">
        <f t="shared" si="5"/>
        <v>600</v>
      </c>
      <c r="AZ36" s="59">
        <f t="shared" si="0"/>
        <v>1.144981512884047</v>
      </c>
      <c r="BA36" s="59">
        <f t="shared" si="1"/>
        <v>9.7857254344432736</v>
      </c>
      <c r="BB36" s="59">
        <f t="shared" si="6"/>
        <v>5</v>
      </c>
      <c r="BC36" s="59">
        <f t="shared" si="2"/>
        <v>48.928627172216366</v>
      </c>
      <c r="BD36" s="59">
        <f t="shared" si="13"/>
        <v>1.5</v>
      </c>
      <c r="BE36" s="59">
        <f t="shared" si="14"/>
        <v>1.2085485356798384</v>
      </c>
      <c r="BF36" s="56">
        <f t="shared" si="3"/>
        <v>6.8662497797214135</v>
      </c>
      <c r="BH36">
        <v>25</v>
      </c>
      <c r="BI36">
        <f t="shared" si="9"/>
        <v>149.91578351695046</v>
      </c>
      <c r="BK36">
        <v>25</v>
      </c>
      <c r="BL36">
        <f t="shared" si="10"/>
        <v>147.60586459328681</v>
      </c>
      <c r="BN36">
        <v>25</v>
      </c>
      <c r="BO36">
        <f t="shared" si="11"/>
        <v>144.70588172257055</v>
      </c>
    </row>
    <row r="37" spans="1:67" ht="15.95" customHeight="1" x14ac:dyDescent="0.3">
      <c r="B37" s="284"/>
      <c r="C37" s="276" t="s">
        <v>250</v>
      </c>
      <c r="D37" s="277"/>
      <c r="E37" s="277"/>
      <c r="F37" s="277"/>
      <c r="G37" s="278"/>
      <c r="H37" s="40" t="s">
        <v>50</v>
      </c>
      <c r="I37" s="30">
        <f>1.225*EXP(-(I36/1000)/8.882)</f>
        <v>0.97801168002894667</v>
      </c>
      <c r="J37" s="4"/>
      <c r="K37" s="26"/>
      <c r="L37"/>
      <c r="M37" s="20"/>
      <c r="N37" s="41"/>
      <c r="O37" s="41"/>
      <c r="P37" s="41"/>
      <c r="Q37" s="41"/>
      <c r="R37" s="41"/>
      <c r="S37" s="41"/>
      <c r="T37" s="32"/>
      <c r="U37" s="4"/>
      <c r="V37" s="4"/>
      <c r="W37"/>
      <c r="X37"/>
      <c r="Y37"/>
      <c r="AV37" s="37"/>
      <c r="AW37" s="38">
        <v>25</v>
      </c>
      <c r="AX37" s="38">
        <f t="shared" si="15"/>
        <v>500</v>
      </c>
      <c r="AY37" s="58">
        <f t="shared" si="5"/>
        <v>500</v>
      </c>
      <c r="AZ37" s="59">
        <f t="shared" si="0"/>
        <v>1.157945386863344</v>
      </c>
      <c r="BA37" s="59">
        <f t="shared" si="1"/>
        <v>9.7860340344432739</v>
      </c>
      <c r="BB37" s="59">
        <f t="shared" si="6"/>
        <v>5</v>
      </c>
      <c r="BC37" s="59">
        <f t="shared" si="2"/>
        <v>48.930170172216371</v>
      </c>
      <c r="BD37" s="59">
        <f t="shared" si="13"/>
        <v>1.5</v>
      </c>
      <c r="BE37" s="59">
        <f t="shared" si="14"/>
        <v>1.2085485356798384</v>
      </c>
      <c r="BF37" s="56">
        <f t="shared" si="3"/>
        <v>6.827813417355074</v>
      </c>
      <c r="BH37">
        <v>26</v>
      </c>
      <c r="BI37">
        <f t="shared" si="9"/>
        <v>151.70031263570223</v>
      </c>
      <c r="BK37">
        <v>26</v>
      </c>
      <c r="BL37">
        <f t="shared" si="10"/>
        <v>149.28347183086075</v>
      </c>
      <c r="BN37">
        <v>26</v>
      </c>
      <c r="BO37">
        <f t="shared" si="11"/>
        <v>146.25481033121204</v>
      </c>
    </row>
    <row r="38" spans="1:67" ht="15.95" customHeight="1" x14ac:dyDescent="0.3">
      <c r="B38" s="284"/>
      <c r="C38" s="276" t="s">
        <v>251</v>
      </c>
      <c r="D38" s="277"/>
      <c r="E38" s="277"/>
      <c r="F38" s="277"/>
      <c r="G38" s="278"/>
      <c r="H38" s="40" t="s">
        <v>53</v>
      </c>
      <c r="I38" s="30">
        <f>9.780327*(1+0.0053024*((SIN($I$21*PI()/180))^2)-0.0000058*((SIN(2*$I$21*PI()/180))^2))-0.000003086*I36</f>
        <v>9.7814050344432744</v>
      </c>
      <c r="J38" s="4"/>
      <c r="K38" s="26"/>
      <c r="L38"/>
      <c r="M38" s="20"/>
      <c r="N38" s="41"/>
      <c r="O38" s="41"/>
      <c r="P38" s="41"/>
      <c r="Q38" s="41"/>
      <c r="R38" s="41"/>
      <c r="S38" s="41"/>
      <c r="T38" s="32"/>
      <c r="U38" s="4"/>
      <c r="V38" s="4"/>
      <c r="W38"/>
      <c r="X38"/>
      <c r="Y38"/>
      <c r="AV38" s="37"/>
      <c r="AW38" s="38">
        <v>26</v>
      </c>
      <c r="AX38" s="38">
        <f t="shared" si="15"/>
        <v>400</v>
      </c>
      <c r="AY38" s="58">
        <f t="shared" si="5"/>
        <v>400</v>
      </c>
      <c r="AZ38" s="59">
        <f t="shared" si="0"/>
        <v>1.1710560422768039</v>
      </c>
      <c r="BA38" s="59">
        <f t="shared" si="1"/>
        <v>9.7863426344432742</v>
      </c>
      <c r="BB38" s="59">
        <f t="shared" si="6"/>
        <v>5</v>
      </c>
      <c r="BC38" s="59">
        <f t="shared" si="2"/>
        <v>48.931713172216369</v>
      </c>
      <c r="BD38" s="59">
        <f t="shared" si="13"/>
        <v>1.5</v>
      </c>
      <c r="BE38" s="59">
        <f t="shared" si="14"/>
        <v>1.2085485356798384</v>
      </c>
      <c r="BF38" s="56">
        <f t="shared" si="3"/>
        <v>6.7895922133094242</v>
      </c>
      <c r="BH38">
        <v>27</v>
      </c>
      <c r="BI38">
        <f t="shared" si="9"/>
        <v>153.30440683273491</v>
      </c>
      <c r="BK38">
        <v>27</v>
      </c>
      <c r="BL38">
        <f t="shared" si="10"/>
        <v>150.78673621080483</v>
      </c>
      <c r="BN38">
        <v>27</v>
      </c>
      <c r="BO38">
        <f t="shared" si="11"/>
        <v>147.63722849182037</v>
      </c>
    </row>
    <row r="39" spans="1:67" ht="15.95" customHeight="1" x14ac:dyDescent="0.25">
      <c r="C39"/>
      <c r="G39"/>
      <c r="H39"/>
      <c r="I39" s="1"/>
      <c r="J39"/>
      <c r="K39" s="26"/>
      <c r="L39"/>
      <c r="M39" s="20"/>
      <c r="N39" s="41"/>
      <c r="O39" s="41"/>
      <c r="P39" s="41"/>
      <c r="Q39" s="41"/>
      <c r="R39" s="41"/>
      <c r="S39" s="41"/>
      <c r="T39" s="32"/>
      <c r="U39" s="4"/>
      <c r="V39" s="183"/>
      <c r="W39"/>
      <c r="X39"/>
      <c r="Y39"/>
      <c r="AV39" s="37"/>
      <c r="AW39" s="38">
        <v>27</v>
      </c>
      <c r="AX39" s="38">
        <f t="shared" si="15"/>
        <v>300</v>
      </c>
      <c r="AY39" s="58">
        <f t="shared" si="5"/>
        <v>300</v>
      </c>
      <c r="AZ39" s="59">
        <f t="shared" si="0"/>
        <v>1.1843151410342425</v>
      </c>
      <c r="BA39" s="59">
        <f t="shared" si="1"/>
        <v>9.7866512344432746</v>
      </c>
      <c r="BB39" s="59">
        <f t="shared" si="6"/>
        <v>5</v>
      </c>
      <c r="BC39" s="59">
        <f t="shared" si="2"/>
        <v>48.933256172216375</v>
      </c>
      <c r="BD39" s="59">
        <f t="shared" si="13"/>
        <v>1.5</v>
      </c>
      <c r="BE39" s="59">
        <f t="shared" si="14"/>
        <v>1.2085485356798384</v>
      </c>
      <c r="BF39" s="56">
        <f t="shared" si="3"/>
        <v>6.7515849631945191</v>
      </c>
      <c r="BH39">
        <v>28</v>
      </c>
      <c r="BI39">
        <f t="shared" si="9"/>
        <v>154.7446825520997</v>
      </c>
      <c r="BK39">
        <v>28</v>
      </c>
      <c r="BL39">
        <f t="shared" si="10"/>
        <v>152.13228542163986</v>
      </c>
      <c r="BN39">
        <v>28</v>
      </c>
      <c r="BO39">
        <f t="shared" si="11"/>
        <v>148.8697076370168</v>
      </c>
    </row>
    <row r="40" spans="1:67" ht="15.95" customHeight="1" x14ac:dyDescent="0.25">
      <c r="B40" s="250" t="s">
        <v>59</v>
      </c>
      <c r="C40" s="255" t="s">
        <v>255</v>
      </c>
      <c r="D40" s="255"/>
      <c r="E40" s="255"/>
      <c r="F40" s="255"/>
      <c r="G40" s="255"/>
      <c r="H40" s="255"/>
      <c r="I40" s="255"/>
      <c r="J40"/>
      <c r="K40" s="26"/>
      <c r="L40"/>
      <c r="M40" s="20"/>
      <c r="N40" s="41"/>
      <c r="O40" s="41"/>
      <c r="P40" s="41"/>
      <c r="Q40" s="41"/>
      <c r="R40" s="41"/>
      <c r="S40" s="41"/>
      <c r="T40" s="32"/>
      <c r="U40" s="4"/>
      <c r="V40" s="4"/>
      <c r="W40"/>
      <c r="X40"/>
      <c r="Y40"/>
      <c r="AV40" s="37"/>
      <c r="AW40" s="38">
        <v>28</v>
      </c>
      <c r="AX40" s="38">
        <f t="shared" si="15"/>
        <v>200</v>
      </c>
      <c r="AY40" s="58">
        <f t="shared" si="5"/>
        <v>200</v>
      </c>
      <c r="AZ40" s="59">
        <f t="shared" si="0"/>
        <v>1.1977243638621888</v>
      </c>
      <c r="BA40" s="59">
        <f t="shared" si="1"/>
        <v>9.7869598344432731</v>
      </c>
      <c r="BB40" s="59">
        <f t="shared" si="6"/>
        <v>5</v>
      </c>
      <c r="BC40" s="59">
        <f t="shared" si="2"/>
        <v>48.934799172216366</v>
      </c>
      <c r="BD40" s="59">
        <f t="shared" si="13"/>
        <v>1.5</v>
      </c>
      <c r="BE40" s="59">
        <f t="shared" si="14"/>
        <v>1.2085485356798384</v>
      </c>
      <c r="BF40" s="56">
        <f t="shared" si="3"/>
        <v>6.7137904693621051</v>
      </c>
      <c r="BH40">
        <v>29</v>
      </c>
      <c r="BI40">
        <f t="shared" si="9"/>
        <v>156.036559105576</v>
      </c>
      <c r="BK40">
        <v>29</v>
      </c>
      <c r="BL40">
        <f t="shared" si="10"/>
        <v>153.33547308995844</v>
      </c>
      <c r="BN40">
        <v>29</v>
      </c>
      <c r="BO40">
        <f t="shared" si="11"/>
        <v>149.96745542451524</v>
      </c>
    </row>
    <row r="41" spans="1:67" ht="15.95" customHeight="1" x14ac:dyDescent="0.25">
      <c r="B41" s="251"/>
      <c r="C41" s="259" t="s">
        <v>33</v>
      </c>
      <c r="D41" s="260"/>
      <c r="E41" s="260"/>
      <c r="F41" s="260"/>
      <c r="G41" s="261"/>
      <c r="H41" s="85" t="s">
        <v>34</v>
      </c>
      <c r="I41" s="85" t="s">
        <v>35</v>
      </c>
      <c r="J41"/>
      <c r="K41" s="26"/>
      <c r="L41"/>
      <c r="M41" s="20"/>
      <c r="N41" s="41"/>
      <c r="O41" s="41"/>
      <c r="P41" s="41"/>
      <c r="Q41" s="41"/>
      <c r="R41" s="41"/>
      <c r="S41" s="41"/>
      <c r="T41" s="32"/>
      <c r="U41" s="4"/>
      <c r="V41" s="4"/>
      <c r="W41"/>
      <c r="X41"/>
      <c r="Y41"/>
      <c r="AV41" s="37"/>
      <c r="AW41" s="38">
        <v>29</v>
      </c>
      <c r="AX41" s="38">
        <f t="shared" si="15"/>
        <v>100</v>
      </c>
      <c r="AY41" s="58">
        <f t="shared" si="5"/>
        <v>100</v>
      </c>
      <c r="AZ41" s="59">
        <f t="shared" si="0"/>
        <v>1.2112854105169357</v>
      </c>
      <c r="BA41" s="59">
        <f t="shared" si="1"/>
        <v>9.7872684344432734</v>
      </c>
      <c r="BB41" s="59">
        <f t="shared" si="6"/>
        <v>5</v>
      </c>
      <c r="BC41" s="59">
        <f t="shared" si="2"/>
        <v>48.936342172216371</v>
      </c>
      <c r="BD41" s="59">
        <f t="shared" si="13"/>
        <v>1.5</v>
      </c>
      <c r="BE41" s="59">
        <f t="shared" si="14"/>
        <v>1.2085485356798384</v>
      </c>
      <c r="BF41" s="56">
        <f t="shared" si="3"/>
        <v>6.6762075408678907</v>
      </c>
      <c r="BH41">
        <v>30</v>
      </c>
      <c r="BI41">
        <f t="shared" si="9"/>
        <v>157.19427328926542</v>
      </c>
      <c r="BK41">
        <v>30</v>
      </c>
      <c r="BL41">
        <f t="shared" si="10"/>
        <v>154.41040819453448</v>
      </c>
      <c r="BN41">
        <v>30</v>
      </c>
      <c r="BO41">
        <f t="shared" si="11"/>
        <v>150.94436414628174</v>
      </c>
    </row>
    <row r="42" spans="1:67" ht="15.95" customHeight="1" x14ac:dyDescent="0.35">
      <c r="A42" s="1"/>
      <c r="B42" s="251"/>
      <c r="C42" s="49" t="s">
        <v>264</v>
      </c>
      <c r="D42" s="252" t="s">
        <v>262</v>
      </c>
      <c r="E42" s="253"/>
      <c r="F42" s="253"/>
      <c r="G42" s="254"/>
      <c r="H42" s="40" t="s">
        <v>42</v>
      </c>
      <c r="I42" s="75">
        <f>I34/2</f>
        <v>1000</v>
      </c>
      <c r="J42"/>
      <c r="K42" s="26"/>
      <c r="L42"/>
      <c r="M42" s="20"/>
      <c r="N42" s="41"/>
      <c r="O42" s="41"/>
      <c r="P42" s="41"/>
      <c r="Q42" s="41"/>
      <c r="R42" s="41"/>
      <c r="S42" s="41"/>
      <c r="T42" s="32"/>
      <c r="U42" s="4"/>
      <c r="V42" s="4"/>
      <c r="W42"/>
      <c r="X42"/>
      <c r="Y42"/>
      <c r="AV42" s="54" t="s">
        <v>46</v>
      </c>
      <c r="AW42" s="62">
        <v>30</v>
      </c>
      <c r="AX42" s="63">
        <f>I20</f>
        <v>0</v>
      </c>
      <c r="AY42" s="63">
        <f t="shared" si="5"/>
        <v>0</v>
      </c>
      <c r="AZ42" s="79">
        <f t="shared" si="0"/>
        <v>1.2250000000000001</v>
      </c>
      <c r="BA42" s="79">
        <f t="shared" si="1"/>
        <v>9.7875770344432738</v>
      </c>
      <c r="BB42" s="79">
        <f t="shared" si="6"/>
        <v>5</v>
      </c>
      <c r="BC42" s="79">
        <f t="shared" si="2"/>
        <v>48.937885172216369</v>
      </c>
      <c r="BD42" s="79">
        <f t="shared" si="13"/>
        <v>1.5</v>
      </c>
      <c r="BE42" s="79">
        <f t="shared" si="14"/>
        <v>1.2085485356798384</v>
      </c>
      <c r="BF42" s="64">
        <f t="shared" si="3"/>
        <v>6.6388349934340143</v>
      </c>
      <c r="BH42">
        <v>31</v>
      </c>
      <c r="BI42">
        <f t="shared" si="9"/>
        <v>158.2309125699222</v>
      </c>
      <c r="BK42">
        <v>31</v>
      </c>
      <c r="BL42">
        <f t="shared" si="10"/>
        <v>155.37000152490862</v>
      </c>
      <c r="BN42">
        <v>31</v>
      </c>
      <c r="BO42">
        <f t="shared" si="11"/>
        <v>151.81307393627645</v>
      </c>
    </row>
    <row r="43" spans="1:67" ht="15.95" customHeight="1" x14ac:dyDescent="0.35">
      <c r="B43" s="251"/>
      <c r="C43" s="49" t="s">
        <v>263</v>
      </c>
      <c r="D43" s="252" t="s">
        <v>249</v>
      </c>
      <c r="E43" s="253"/>
      <c r="F43" s="253"/>
      <c r="G43" s="254"/>
      <c r="H43" s="40" t="s">
        <v>42</v>
      </c>
      <c r="I43" s="45">
        <f>I20+I42</f>
        <v>1000</v>
      </c>
      <c r="J43"/>
      <c r="K43" s="26"/>
      <c r="L43"/>
      <c r="M43"/>
      <c r="N43" s="24"/>
      <c r="O43" s="24"/>
      <c r="P43" s="24"/>
      <c r="Q43" s="24"/>
      <c r="R43" s="24"/>
      <c r="S43" s="24"/>
      <c r="T43" s="4"/>
      <c r="U43" s="4"/>
      <c r="V43" s="4"/>
      <c r="W43"/>
      <c r="X43"/>
      <c r="Y43"/>
      <c r="BH43">
        <v>32</v>
      </c>
      <c r="BI43">
        <f t="shared" si="9"/>
        <v>159.15846175691593</v>
      </c>
      <c r="BK43">
        <v>32</v>
      </c>
      <c r="BL43">
        <f t="shared" si="10"/>
        <v>156.226024032819</v>
      </c>
      <c r="BN43">
        <v>32</v>
      </c>
      <c r="BO43">
        <f t="shared" si="11"/>
        <v>152.58504562001028</v>
      </c>
    </row>
    <row r="44" spans="1:67" ht="15.95" customHeight="1" x14ac:dyDescent="0.35">
      <c r="B44" s="251"/>
      <c r="C44" s="49" t="s">
        <v>258</v>
      </c>
      <c r="D44" s="252" t="s">
        <v>63</v>
      </c>
      <c r="E44" s="253"/>
      <c r="F44" s="253"/>
      <c r="G44" s="254"/>
      <c r="H44" s="40" t="s">
        <v>50</v>
      </c>
      <c r="I44" s="52">
        <f>(I22+I37)/2</f>
        <v>1.1015058400144735</v>
      </c>
      <c r="J44"/>
      <c r="K44" s="26"/>
      <c r="L44"/>
      <c r="M44"/>
      <c r="N44"/>
      <c r="O44"/>
      <c r="P44"/>
      <c r="Q44"/>
      <c r="R44"/>
      <c r="S44"/>
      <c r="T44" s="4"/>
      <c r="U44" s="4"/>
      <c r="V44" s="4"/>
      <c r="W44"/>
      <c r="X44"/>
      <c r="Y44"/>
      <c r="BH44">
        <v>33</v>
      </c>
      <c r="BI44">
        <f t="shared" si="9"/>
        <v>159.98785896302988</v>
      </c>
      <c r="BK44">
        <v>33</v>
      </c>
      <c r="BL44">
        <f t="shared" si="10"/>
        <v>156.98917289608971</v>
      </c>
      <c r="BN44">
        <v>33</v>
      </c>
      <c r="BO44">
        <f t="shared" si="11"/>
        <v>153.2706391156706</v>
      </c>
    </row>
    <row r="45" spans="1:67" ht="15.95" customHeight="1" x14ac:dyDescent="0.35">
      <c r="B45" s="251"/>
      <c r="C45" s="49" t="s">
        <v>259</v>
      </c>
      <c r="D45" s="252" t="s">
        <v>64</v>
      </c>
      <c r="E45" s="253"/>
      <c r="F45" s="253"/>
      <c r="G45" s="254"/>
      <c r="H45" s="40" t="s">
        <v>53</v>
      </c>
      <c r="I45" s="52">
        <f>(I23+I38)/2</f>
        <v>9.7844910344432741</v>
      </c>
      <c r="J45"/>
      <c r="K45" s="26"/>
      <c r="L45"/>
      <c r="M45"/>
      <c r="N45"/>
      <c r="O45"/>
      <c r="P45"/>
      <c r="Q45"/>
      <c r="R45"/>
      <c r="S45"/>
      <c r="T45"/>
      <c r="U45" s="4"/>
      <c r="V45" s="4"/>
      <c r="W45"/>
      <c r="X45"/>
      <c r="Y45"/>
      <c r="BH45">
        <v>34</v>
      </c>
      <c r="BI45">
        <f t="shared" si="9"/>
        <v>160.72905745471397</v>
      </c>
      <c r="BK45">
        <v>34</v>
      </c>
      <c r="BL45">
        <f t="shared" si="10"/>
        <v>157.66914196958069</v>
      </c>
      <c r="BN45">
        <v>34</v>
      </c>
      <c r="BO45">
        <f t="shared" si="11"/>
        <v>153.87919421281677</v>
      </c>
    </row>
    <row r="46" spans="1:67" ht="15.95" customHeight="1" x14ac:dyDescent="0.25">
      <c r="C46"/>
      <c r="G46"/>
      <c r="H46"/>
      <c r="I46" s="1"/>
      <c r="J46"/>
      <c r="K46" s="26"/>
      <c r="L46"/>
      <c r="M46"/>
      <c r="N46"/>
      <c r="O46"/>
      <c r="P46"/>
      <c r="Q46"/>
      <c r="R46"/>
      <c r="S46"/>
      <c r="T46"/>
      <c r="U46" s="4"/>
      <c r="V46" s="4"/>
      <c r="W46"/>
      <c r="X46"/>
      <c r="Y46"/>
      <c r="BH46">
        <v>35</v>
      </c>
      <c r="BI46">
        <f t="shared" si="9"/>
        <v>161.39109069073692</v>
      </c>
      <c r="BK46">
        <v>35</v>
      </c>
      <c r="BL46">
        <f t="shared" si="10"/>
        <v>158.27469403275202</v>
      </c>
      <c r="BN46">
        <v>35</v>
      </c>
      <c r="BO46">
        <f t="shared" si="11"/>
        <v>154.41911132468937</v>
      </c>
    </row>
    <row r="47" spans="1:67" ht="15.95" customHeight="1" x14ac:dyDescent="0.25">
      <c r="B47" s="266" t="s">
        <v>162</v>
      </c>
      <c r="C47" s="270" t="s">
        <v>228</v>
      </c>
      <c r="D47" s="271"/>
      <c r="E47" s="271"/>
      <c r="F47" s="271"/>
      <c r="G47" s="271"/>
      <c r="H47" s="271"/>
      <c r="I47" s="272"/>
      <c r="J47"/>
      <c r="K47" s="26"/>
      <c r="L47"/>
      <c r="M47"/>
      <c r="N47"/>
      <c r="O47"/>
      <c r="P47"/>
      <c r="Q47"/>
      <c r="R47"/>
      <c r="S47"/>
      <c r="T47"/>
      <c r="U47" s="4"/>
      <c r="V47" s="4"/>
      <c r="W47"/>
      <c r="X47"/>
      <c r="Y47"/>
      <c r="BH47">
        <v>36</v>
      </c>
      <c r="BI47">
        <f t="shared" si="9"/>
        <v>161.98213844669016</v>
      </c>
      <c r="BK47">
        <v>36</v>
      </c>
      <c r="BL47">
        <f t="shared" si="10"/>
        <v>158.81373286245199</v>
      </c>
      <c r="BN47">
        <v>36</v>
      </c>
      <c r="BO47">
        <f t="shared" si="11"/>
        <v>154.89793044495767</v>
      </c>
    </row>
    <row r="48" spans="1:67" ht="15.95" customHeight="1" x14ac:dyDescent="0.25">
      <c r="B48" s="267"/>
      <c r="C48" s="256" t="s">
        <v>33</v>
      </c>
      <c r="D48" s="257"/>
      <c r="E48" s="257"/>
      <c r="F48" s="257"/>
      <c r="G48" s="258"/>
      <c r="H48" s="85" t="s">
        <v>34</v>
      </c>
      <c r="I48" s="85" t="s">
        <v>35</v>
      </c>
      <c r="J48"/>
      <c r="K48" s="26"/>
      <c r="L48"/>
      <c r="M48"/>
      <c r="N48"/>
      <c r="O48"/>
      <c r="P48"/>
      <c r="Q48"/>
      <c r="R48"/>
      <c r="S48"/>
      <c r="T48"/>
      <c r="U48" s="4"/>
      <c r="V48" s="4"/>
      <c r="W48"/>
      <c r="X48"/>
      <c r="Y48"/>
      <c r="BH48">
        <v>37</v>
      </c>
      <c r="BI48">
        <f t="shared" si="9"/>
        <v>162.5095924262622</v>
      </c>
      <c r="BK48">
        <v>37</v>
      </c>
      <c r="BL48">
        <f t="shared" si="10"/>
        <v>159.29337367165087</v>
      </c>
      <c r="BN48">
        <v>37</v>
      </c>
      <c r="BO48">
        <f t="shared" si="11"/>
        <v>155.32240705379814</v>
      </c>
    </row>
    <row r="49" spans="2:67" ht="15.95" customHeight="1" x14ac:dyDescent="0.3">
      <c r="B49" s="267"/>
      <c r="C49" s="286" t="s">
        <v>230</v>
      </c>
      <c r="D49" s="287"/>
      <c r="E49" s="287"/>
      <c r="F49" s="287"/>
      <c r="G49" s="288"/>
      <c r="H49" s="262" t="s">
        <v>40</v>
      </c>
      <c r="I49" s="304">
        <v>1.5</v>
      </c>
      <c r="J49"/>
      <c r="K49" s="26"/>
      <c r="L49"/>
      <c r="M49"/>
      <c r="N49"/>
      <c r="O49"/>
      <c r="P49"/>
      <c r="Q49"/>
      <c r="R49"/>
      <c r="S49"/>
      <c r="T49"/>
      <c r="U49" s="4"/>
      <c r="V49" s="4"/>
      <c r="W49"/>
      <c r="X49"/>
      <c r="Y49"/>
      <c r="BH49">
        <v>38</v>
      </c>
      <c r="BI49">
        <f t="shared" si="9"/>
        <v>162.98012017666358</v>
      </c>
      <c r="BK49">
        <v>38</v>
      </c>
      <c r="BL49">
        <f t="shared" si="10"/>
        <v>159.72001087148138</v>
      </c>
      <c r="BN49">
        <v>38</v>
      </c>
      <c r="BO49">
        <f t="shared" si="11"/>
        <v>155.69858412748923</v>
      </c>
    </row>
    <row r="50" spans="2:67" ht="15.95" customHeight="1" x14ac:dyDescent="0.25">
      <c r="B50" s="268"/>
      <c r="C50" s="273" t="s">
        <v>65</v>
      </c>
      <c r="D50" s="274"/>
      <c r="E50" s="274"/>
      <c r="F50" s="274"/>
      <c r="G50" s="275"/>
      <c r="H50" s="263"/>
      <c r="I50" s="305"/>
      <c r="J50"/>
      <c r="K50" s="26"/>
      <c r="L50"/>
      <c r="M50"/>
      <c r="N50"/>
      <c r="O50"/>
      <c r="P50"/>
      <c r="Q50"/>
      <c r="R50"/>
      <c r="S50"/>
      <c r="T50"/>
      <c r="U50" s="4"/>
      <c r="V50" s="4"/>
      <c r="W50"/>
      <c r="X50"/>
      <c r="Y50"/>
      <c r="BH50">
        <v>39</v>
      </c>
      <c r="BI50">
        <f t="shared" si="9"/>
        <v>163.39972646469198</v>
      </c>
      <c r="BK50">
        <v>39</v>
      </c>
      <c r="BL50">
        <f t="shared" si="10"/>
        <v>160.09938244751385</v>
      </c>
      <c r="BN50">
        <v>39</v>
      </c>
      <c r="BO50">
        <f t="shared" si="11"/>
        <v>156.03185972604174</v>
      </c>
    </row>
    <row r="51" spans="2:67" ht="15.95" customHeight="1" x14ac:dyDescent="0.25">
      <c r="B51" s="7"/>
      <c r="C51" s="14"/>
      <c r="D51" s="14"/>
      <c r="E51" s="14"/>
      <c r="F51" s="14"/>
      <c r="G51" s="14"/>
      <c r="H51" s="14"/>
      <c r="I51" s="14"/>
      <c r="J51"/>
      <c r="K51" s="26"/>
      <c r="L51"/>
      <c r="M51"/>
      <c r="N51"/>
      <c r="O51"/>
      <c r="P51"/>
      <c r="Q51"/>
      <c r="R51"/>
      <c r="S51"/>
      <c r="T51"/>
      <c r="U51" s="4"/>
      <c r="V51" s="4"/>
      <c r="W51"/>
      <c r="X51"/>
      <c r="Y51"/>
      <c r="BH51">
        <v>40</v>
      </c>
      <c r="BI51">
        <f t="shared" si="9"/>
        <v>163.77381154186622</v>
      </c>
      <c r="BK51">
        <v>40</v>
      </c>
      <c r="BL51">
        <f t="shared" si="10"/>
        <v>160.43663050395989</v>
      </c>
      <c r="BN51">
        <v>40</v>
      </c>
      <c r="BO51">
        <f t="shared" si="11"/>
        <v>156.32704987961606</v>
      </c>
    </row>
    <row r="52" spans="2:67" ht="15.95" customHeight="1" x14ac:dyDescent="0.25">
      <c r="B52" s="266" t="s">
        <v>66</v>
      </c>
      <c r="C52" s="270" t="s">
        <v>227</v>
      </c>
      <c r="D52" s="271"/>
      <c r="E52" s="271"/>
      <c r="F52" s="271"/>
      <c r="G52" s="271"/>
      <c r="H52" s="271"/>
      <c r="I52" s="272"/>
      <c r="J52"/>
      <c r="K52" s="26"/>
      <c r="L52"/>
      <c r="M52"/>
      <c r="N52"/>
      <c r="O52"/>
      <c r="P52"/>
      <c r="Q52"/>
      <c r="R52"/>
      <c r="S52"/>
      <c r="T52"/>
      <c r="U52" s="4"/>
      <c r="V52" s="4"/>
      <c r="W52"/>
      <c r="X52"/>
      <c r="Y52"/>
      <c r="BH52">
        <v>41</v>
      </c>
      <c r="BI52">
        <f t="shared" si="9"/>
        <v>164.10722594175391</v>
      </c>
      <c r="BK52">
        <v>41</v>
      </c>
      <c r="BL52">
        <f t="shared" si="10"/>
        <v>160.73635773299574</v>
      </c>
      <c r="BN52">
        <v>41</v>
      </c>
      <c r="BO52">
        <f t="shared" si="11"/>
        <v>156.5884466799555</v>
      </c>
    </row>
    <row r="53" spans="2:67" ht="15.95" customHeight="1" x14ac:dyDescent="0.25">
      <c r="B53" s="267"/>
      <c r="C53" s="289" t="s">
        <v>33</v>
      </c>
      <c r="D53" s="290"/>
      <c r="E53" s="290"/>
      <c r="F53" s="290"/>
      <c r="G53" s="291"/>
      <c r="H53" s="85" t="s">
        <v>34</v>
      </c>
      <c r="I53" s="85" t="s">
        <v>35</v>
      </c>
      <c r="J53"/>
      <c r="K53" s="35"/>
      <c r="L53"/>
      <c r="M53"/>
      <c r="N53"/>
      <c r="O53"/>
      <c r="P53"/>
      <c r="Q53"/>
      <c r="R53"/>
      <c r="S53"/>
      <c r="T53"/>
      <c r="U53" s="4"/>
      <c r="V53" s="4"/>
      <c r="W53"/>
      <c r="X53"/>
      <c r="Y53"/>
      <c r="BH53">
        <v>42</v>
      </c>
      <c r="BI53">
        <f t="shared" si="9"/>
        <v>164.40432161934123</v>
      </c>
      <c r="BK53">
        <v>42</v>
      </c>
      <c r="BL53">
        <f t="shared" si="10"/>
        <v>161.00267972101582</v>
      </c>
      <c r="BN53">
        <v>42</v>
      </c>
      <c r="BO53">
        <f t="shared" si="11"/>
        <v>156.81987161949462</v>
      </c>
    </row>
    <row r="54" spans="2:67" ht="15.95" customHeight="1" x14ac:dyDescent="0.3">
      <c r="B54" s="267"/>
      <c r="C54" s="286" t="s">
        <v>153</v>
      </c>
      <c r="D54" s="287"/>
      <c r="E54" s="287"/>
      <c r="F54" s="287"/>
      <c r="G54" s="288"/>
      <c r="H54" s="317" t="s">
        <v>67</v>
      </c>
      <c r="I54" s="304">
        <v>7</v>
      </c>
      <c r="J54"/>
      <c r="K54" s="35"/>
      <c r="L54"/>
      <c r="M54"/>
      <c r="N54"/>
      <c r="O54"/>
      <c r="P54"/>
      <c r="Q54"/>
      <c r="R54"/>
      <c r="S54"/>
      <c r="T54"/>
      <c r="U54" s="4"/>
      <c r="V54" s="4"/>
      <c r="W54"/>
      <c r="X54"/>
      <c r="Y54"/>
      <c r="BH54">
        <v>43</v>
      </c>
      <c r="BI54">
        <f t="shared" si="9"/>
        <v>164.66899936938239</v>
      </c>
      <c r="BK54">
        <v>43</v>
      </c>
      <c r="BL54">
        <f t="shared" si="10"/>
        <v>161.23927311852572</v>
      </c>
      <c r="BN54">
        <v>43</v>
      </c>
      <c r="BO54">
        <f t="shared" si="11"/>
        <v>157.02472431815823</v>
      </c>
    </row>
    <row r="55" spans="2:67" ht="15.95" customHeight="1" x14ac:dyDescent="0.25">
      <c r="B55" s="268"/>
      <c r="C55" s="273" t="s">
        <v>68</v>
      </c>
      <c r="D55" s="274"/>
      <c r="E55" s="274"/>
      <c r="F55" s="274"/>
      <c r="G55" s="275"/>
      <c r="H55" s="318"/>
      <c r="I55" s="305"/>
      <c r="J55"/>
      <c r="K55" s="35"/>
      <c r="L55"/>
      <c r="M55"/>
      <c r="N55"/>
      <c r="O55"/>
      <c r="P55"/>
      <c r="Q55"/>
      <c r="R55"/>
      <c r="S55"/>
      <c r="T55"/>
      <c r="U55" s="4"/>
      <c r="V55" s="4"/>
      <c r="W55"/>
      <c r="X55"/>
      <c r="Y55"/>
      <c r="BH55">
        <v>44</v>
      </c>
      <c r="BI55">
        <f t="shared" si="9"/>
        <v>164.90475255544547</v>
      </c>
      <c r="BK55">
        <v>44</v>
      </c>
      <c r="BL55">
        <f t="shared" si="10"/>
        <v>161.44941978340782</v>
      </c>
      <c r="BN55">
        <v>44</v>
      </c>
      <c r="BO55">
        <f t="shared" si="11"/>
        <v>157.20602684454477</v>
      </c>
    </row>
    <row r="56" spans="2:67" ht="15.95" customHeight="1" x14ac:dyDescent="0.25">
      <c r="C56"/>
      <c r="G56"/>
      <c r="H56" s="40" t="s">
        <v>69</v>
      </c>
      <c r="I56" s="30">
        <f>I54*3.6</f>
        <v>25.2</v>
      </c>
      <c r="J56"/>
      <c r="K56" s="35"/>
      <c r="L56"/>
      <c r="M56"/>
      <c r="N56"/>
      <c r="O56"/>
      <c r="P56"/>
      <c r="Q56"/>
      <c r="R56"/>
      <c r="S56"/>
      <c r="T56"/>
      <c r="U56" s="4"/>
      <c r="V56" s="4"/>
      <c r="W56"/>
      <c r="X56"/>
      <c r="Y56"/>
      <c r="BH56">
        <v>45</v>
      </c>
      <c r="BI56">
        <f t="shared" si="9"/>
        <v>165.11470725013797</v>
      </c>
      <c r="BK56">
        <v>45</v>
      </c>
      <c r="BL56">
        <f t="shared" si="10"/>
        <v>161.63604706508079</v>
      </c>
      <c r="BN56">
        <v>45</v>
      </c>
      <c r="BO56">
        <f t="shared" si="11"/>
        <v>157.36646388109716</v>
      </c>
    </row>
    <row r="57" spans="2:67" x14ac:dyDescent="0.25">
      <c r="C57"/>
      <c r="G57"/>
      <c r="H57"/>
      <c r="I57" s="1"/>
      <c r="J57"/>
      <c r="K57"/>
      <c r="L57"/>
      <c r="M57"/>
      <c r="N57"/>
      <c r="O57"/>
      <c r="P57"/>
      <c r="Q57"/>
      <c r="R57"/>
      <c r="S57"/>
      <c r="T57"/>
      <c r="U57" s="4"/>
      <c r="V57" s="4"/>
      <c r="W57"/>
      <c r="X57"/>
      <c r="Y57"/>
      <c r="BH57">
        <v>46</v>
      </c>
      <c r="BI57">
        <f t="shared" si="9"/>
        <v>165.30165893508575</v>
      </c>
      <c r="BK57">
        <v>46</v>
      </c>
      <c r="BL57">
        <f t="shared" si="10"/>
        <v>161.80176443514202</v>
      </c>
      <c r="BN57">
        <v>46</v>
      </c>
      <c r="BO57">
        <f t="shared" si="11"/>
        <v>157.50841900765326</v>
      </c>
    </row>
    <row r="58" spans="2:67" x14ac:dyDescent="0.25">
      <c r="C58"/>
      <c r="G58"/>
      <c r="H58"/>
      <c r="I58" s="1"/>
      <c r="J58"/>
      <c r="K58"/>
      <c r="L58"/>
      <c r="M58"/>
      <c r="N58"/>
      <c r="O58"/>
      <c r="P58"/>
      <c r="Q58"/>
      <c r="R58"/>
      <c r="S58"/>
      <c r="T58"/>
      <c r="U58" s="4"/>
      <c r="V58" s="4"/>
      <c r="W58"/>
      <c r="X58"/>
      <c r="Y58"/>
      <c r="BH58">
        <v>47</v>
      </c>
      <c r="BI58">
        <f t="shared" si="9"/>
        <v>165.46810594109323</v>
      </c>
      <c r="BK58">
        <v>47</v>
      </c>
      <c r="BL58">
        <f t="shared" si="10"/>
        <v>161.94889669295637</v>
      </c>
      <c r="BN58">
        <v>47</v>
      </c>
      <c r="BO58">
        <f t="shared" si="11"/>
        <v>157.63400738896405</v>
      </c>
    </row>
    <row r="59" spans="2:67" x14ac:dyDescent="0.25">
      <c r="C59"/>
      <c r="G59"/>
      <c r="H59"/>
      <c r="I59" s="1"/>
      <c r="J59"/>
      <c r="K59"/>
      <c r="L59"/>
      <c r="M59"/>
      <c r="N59"/>
      <c r="O59"/>
      <c r="P59"/>
      <c r="Q59"/>
      <c r="R59"/>
      <c r="S59"/>
      <c r="T59" s="21"/>
      <c r="U59" s="4"/>
      <c r="V59" s="4"/>
      <c r="W59"/>
      <c r="X59"/>
      <c r="Y59" s="4"/>
      <c r="BH59">
        <v>48</v>
      </c>
      <c r="BI59">
        <f t="shared" si="9"/>
        <v>165.61627982819533</v>
      </c>
      <c r="BK59">
        <v>48</v>
      </c>
      <c r="BL59">
        <f t="shared" si="10"/>
        <v>162.07951398600727</v>
      </c>
      <c r="BN59">
        <v>48</v>
      </c>
      <c r="BO59">
        <f t="shared" si="11"/>
        <v>157.74510515298749</v>
      </c>
    </row>
    <row r="60" spans="2:67" x14ac:dyDescent="0.25">
      <c r="C60"/>
      <c r="G60"/>
      <c r="H60"/>
      <c r="I60" s="1"/>
      <c r="J60"/>
      <c r="K60"/>
      <c r="L60"/>
      <c r="M60"/>
      <c r="N60"/>
      <c r="O60"/>
      <c r="P60"/>
      <c r="Q60"/>
      <c r="R60"/>
      <c r="S60"/>
      <c r="T60"/>
      <c r="U60" s="4"/>
      <c r="V60" s="4"/>
      <c r="W60"/>
      <c r="X60"/>
      <c r="Y60"/>
      <c r="BH60">
        <v>49</v>
      </c>
      <c r="BI60">
        <f t="shared" si="9"/>
        <v>165.74817291501003</v>
      </c>
      <c r="BK60">
        <v>49</v>
      </c>
      <c r="BL60">
        <f t="shared" si="10"/>
        <v>162.19545888760709</v>
      </c>
      <c r="BN60">
        <v>49</v>
      </c>
      <c r="BO60">
        <f t="shared" si="11"/>
        <v>157.84337574083887</v>
      </c>
    </row>
    <row r="61" spans="2:67" ht="15" customHeight="1" x14ac:dyDescent="0.25">
      <c r="C61"/>
      <c r="G61"/>
      <c r="H61"/>
      <c r="I61" s="1"/>
      <c r="J61"/>
      <c r="K61" s="4"/>
      <c r="L61" s="4"/>
      <c r="M61"/>
      <c r="N61"/>
      <c r="O61"/>
      <c r="P61"/>
      <c r="Q61"/>
      <c r="R61"/>
      <c r="S61"/>
      <c r="T61"/>
      <c r="U61" s="4"/>
      <c r="V61" s="4"/>
      <c r="W61"/>
      <c r="X61" s="4"/>
      <c r="Y61"/>
      <c r="BH61">
        <v>50</v>
      </c>
      <c r="BI61">
        <f t="shared" si="9"/>
        <v>165.86556316930989</v>
      </c>
      <c r="BK61">
        <v>50</v>
      </c>
      <c r="BL61">
        <f t="shared" si="10"/>
        <v>162.29837077110261</v>
      </c>
      <c r="BN61">
        <v>50</v>
      </c>
      <c r="BO61">
        <f t="shared" si="11"/>
        <v>157.93029349841572</v>
      </c>
    </row>
    <row r="62" spans="2:67" x14ac:dyDescent="0.25">
      <c r="C62"/>
      <c r="G62"/>
      <c r="H62"/>
      <c r="I62" s="1"/>
      <c r="J62"/>
      <c r="K62" s="4"/>
      <c r="L62" s="4"/>
      <c r="M62"/>
      <c r="N62"/>
      <c r="O62"/>
      <c r="P62"/>
      <c r="Q62"/>
      <c r="R62"/>
      <c r="S62"/>
      <c r="T62"/>
      <c r="U62" s="4"/>
      <c r="V62" s="4"/>
      <c r="W62" s="4"/>
      <c r="X62" s="4"/>
      <c r="Y62"/>
      <c r="BH62">
        <v>51</v>
      </c>
      <c r="BI62">
        <f t="shared" si="9"/>
        <v>165.97003666898055</v>
      </c>
      <c r="BK62">
        <v>51</v>
      </c>
      <c r="BL62">
        <f t="shared" si="10"/>
        <v>162.38970771185518</v>
      </c>
      <c r="BN62">
        <v>51</v>
      </c>
      <c r="BO62">
        <f t="shared" si="11"/>
        <v>158.00716476561158</v>
      </c>
    </row>
    <row r="63" spans="2:67" ht="17.100000000000001" customHeight="1" x14ac:dyDescent="0.25">
      <c r="C63"/>
      <c r="G63"/>
      <c r="H63"/>
      <c r="I63" s="1"/>
      <c r="J63"/>
      <c r="K63" s="4"/>
      <c r="L63" s="4"/>
      <c r="M63"/>
      <c r="N63"/>
      <c r="O63"/>
      <c r="P63"/>
      <c r="Q63"/>
      <c r="R63"/>
      <c r="S63"/>
      <c r="T63"/>
      <c r="U63" s="4"/>
      <c r="V63" s="4"/>
      <c r="W63" s="4"/>
      <c r="X63" s="4"/>
      <c r="Y63"/>
      <c r="BH63">
        <v>52</v>
      </c>
      <c r="BI63">
        <f t="shared" si="9"/>
        <v>166.06300783603103</v>
      </c>
      <c r="BK63">
        <v>52</v>
      </c>
      <c r="BL63">
        <f t="shared" si="10"/>
        <v>162.47076613743832</v>
      </c>
      <c r="BN63">
        <v>52</v>
      </c>
      <c r="BO63">
        <f t="shared" si="11"/>
        <v>158.07514670296916</v>
      </c>
    </row>
    <row r="64" spans="2:67" ht="15" customHeight="1" x14ac:dyDescent="0.25">
      <c r="C64"/>
      <c r="G64"/>
      <c r="H64"/>
      <c r="I64" s="1"/>
      <c r="J64"/>
      <c r="K64" s="4"/>
      <c r="L64" s="4"/>
      <c r="M64"/>
      <c r="N64"/>
      <c r="O64"/>
      <c r="P64"/>
      <c r="Q64"/>
      <c r="R64"/>
      <c r="S64"/>
      <c r="T64"/>
      <c r="U64" s="4"/>
      <c r="V64" s="4"/>
      <c r="W64" s="4"/>
      <c r="X64" s="4"/>
      <c r="Y64"/>
      <c r="BH64">
        <v>53</v>
      </c>
      <c r="BI64">
        <f t="shared" si="9"/>
        <v>166.14573763725289</v>
      </c>
      <c r="BK64">
        <v>53</v>
      </c>
      <c r="BL64">
        <f t="shared" si="10"/>
        <v>162.54269843378052</v>
      </c>
      <c r="BN64">
        <v>53</v>
      </c>
      <c r="BO64">
        <f t="shared" si="11"/>
        <v>158.1352640785673</v>
      </c>
    </row>
    <row r="65" spans="3:67" x14ac:dyDescent="0.25">
      <c r="C65"/>
      <c r="G65"/>
      <c r="H65"/>
      <c r="I65" s="1"/>
      <c r="J65"/>
      <c r="K65" s="4"/>
      <c r="L65" s="4"/>
      <c r="M65"/>
      <c r="N65"/>
      <c r="O65"/>
      <c r="P65"/>
      <c r="Q65"/>
      <c r="R65"/>
      <c r="S65"/>
      <c r="T65"/>
      <c r="U65" s="4"/>
      <c r="V65" s="4"/>
      <c r="W65" s="4"/>
      <c r="X65" s="4"/>
      <c r="Y65"/>
      <c r="BH65">
        <v>54</v>
      </c>
      <c r="BI65">
        <f t="shared" si="9"/>
        <v>166.21934993440547</v>
      </c>
      <c r="BK65">
        <v>54</v>
      </c>
      <c r="BL65">
        <f t="shared" si="10"/>
        <v>162.60652870121291</v>
      </c>
      <c r="BN65">
        <v>54</v>
      </c>
      <c r="BO65">
        <f t="shared" si="11"/>
        <v>158.18842422058268</v>
      </c>
    </row>
    <row r="66" spans="3:67" x14ac:dyDescent="0.25">
      <c r="C66" s="4"/>
      <c r="D66" s="4"/>
      <c r="E66" s="4"/>
      <c r="F66" s="4"/>
      <c r="G66" s="4"/>
      <c r="H66" s="4"/>
      <c r="I66" s="4"/>
      <c r="J66"/>
      <c r="K66" s="4"/>
      <c r="L66" s="4"/>
      <c r="M66"/>
      <c r="N66"/>
      <c r="O66"/>
      <c r="P66"/>
      <c r="Q66"/>
      <c r="R66"/>
      <c r="S66"/>
      <c r="T66"/>
      <c r="U66" s="4"/>
      <c r="V66" s="4"/>
      <c r="W66" s="4"/>
      <c r="X66" s="4"/>
      <c r="Y66"/>
      <c r="BH66">
        <v>55</v>
      </c>
      <c r="BI66">
        <f t="shared" si="9"/>
        <v>166.28484615513204</v>
      </c>
      <c r="BK66">
        <v>55</v>
      </c>
      <c r="BL66">
        <f t="shared" si="10"/>
        <v>162.66316684017485</v>
      </c>
      <c r="BN66">
        <v>55</v>
      </c>
      <c r="BO66">
        <f t="shared" si="11"/>
        <v>158.23543032383199</v>
      </c>
    </row>
    <row r="67" spans="3:67" x14ac:dyDescent="0.25">
      <c r="C67"/>
      <c r="G67"/>
      <c r="H67"/>
      <c r="I67" s="1"/>
      <c r="J67"/>
      <c r="K67" s="4"/>
      <c r="L67" s="4"/>
      <c r="M67"/>
      <c r="N67"/>
      <c r="O67"/>
      <c r="P67"/>
      <c r="Q67"/>
      <c r="R67"/>
      <c r="S67"/>
      <c r="T67" s="4"/>
      <c r="U67" s="4"/>
      <c r="V67" s="4"/>
      <c r="W67" s="4"/>
      <c r="X67" s="4"/>
      <c r="Y67"/>
      <c r="BH67">
        <v>56</v>
      </c>
      <c r="BI67">
        <f t="shared" si="9"/>
        <v>166.3431184437099</v>
      </c>
      <c r="BK67">
        <v>56</v>
      </c>
      <c r="BL67">
        <f t="shared" si="10"/>
        <v>162.71342113214249</v>
      </c>
      <c r="BN67">
        <v>56</v>
      </c>
      <c r="BO67">
        <f t="shared" si="11"/>
        <v>158.27699328202399</v>
      </c>
    </row>
    <row r="68" spans="3:67" x14ac:dyDescent="0.25">
      <c r="C68"/>
      <c r="G68"/>
      <c r="H68"/>
      <c r="I68" s="1"/>
      <c r="J68"/>
      <c r="K68" s="4"/>
      <c r="L68" s="4"/>
      <c r="M68"/>
      <c r="N68"/>
      <c r="O68"/>
      <c r="P68"/>
      <c r="Q68"/>
      <c r="R68"/>
      <c r="S68"/>
      <c r="T68" s="4"/>
      <c r="U68" s="4"/>
      <c r="V68" s="4"/>
      <c r="W68" s="4"/>
      <c r="X68" s="4"/>
      <c r="Y68"/>
      <c r="BH68">
        <v>57</v>
      </c>
      <c r="BI68">
        <f t="shared" si="9"/>
        <v>166.39496143859373</v>
      </c>
      <c r="BK68">
        <v>57</v>
      </c>
      <c r="BL68">
        <f t="shared" si="10"/>
        <v>162.75800946749058</v>
      </c>
      <c r="BN68">
        <v>57</v>
      </c>
      <c r="BO68">
        <f t="shared" si="11"/>
        <v>158.31374220167532</v>
      </c>
    </row>
    <row r="69" spans="3:67" x14ac:dyDescent="0.25">
      <c r="C69"/>
      <c r="G69"/>
      <c r="H69"/>
      <c r="I69" s="1"/>
      <c r="J69"/>
      <c r="K69" s="4"/>
      <c r="L69" s="4"/>
      <c r="M69"/>
      <c r="N69"/>
      <c r="O69"/>
      <c r="P69"/>
      <c r="Q69"/>
      <c r="R69"/>
      <c r="S69"/>
      <c r="T69"/>
      <c r="U69" s="4"/>
      <c r="V69" s="4"/>
      <c r="W69" s="4"/>
      <c r="X69" s="4"/>
      <c r="Y69"/>
      <c r="BH69">
        <v>58</v>
      </c>
      <c r="BI69">
        <f t="shared" si="9"/>
        <v>166.44108281180456</v>
      </c>
      <c r="BK69">
        <v>58</v>
      </c>
      <c r="BL69">
        <f t="shared" si="10"/>
        <v>162.7975693587012</v>
      </c>
      <c r="BN69">
        <v>58</v>
      </c>
      <c r="BO69">
        <f t="shared" si="11"/>
        <v>158.34623373880987</v>
      </c>
    </row>
    <row r="70" spans="3:67" ht="15" customHeight="1" x14ac:dyDescent="0.25">
      <c r="C70"/>
      <c r="G70"/>
      <c r="H70"/>
      <c r="I70" s="1"/>
      <c r="J70"/>
      <c r="K70" s="4"/>
      <c r="L70" s="4"/>
      <c r="M70"/>
      <c r="N70"/>
      <c r="O70"/>
      <c r="P70"/>
      <c r="Q70"/>
      <c r="R70"/>
      <c r="S70"/>
      <c r="T70"/>
      <c r="U70" s="4"/>
      <c r="V70"/>
      <c r="W70" s="4"/>
      <c r="X70" s="4"/>
      <c r="Y70"/>
      <c r="BH70">
        <v>59</v>
      </c>
      <c r="BI70">
        <f t="shared" si="9"/>
        <v>166.48211269374272</v>
      </c>
      <c r="BK70">
        <v>59</v>
      </c>
      <c r="BL70">
        <f t="shared" si="10"/>
        <v>162.83266686473763</v>
      </c>
      <c r="BN70">
        <v>59</v>
      </c>
      <c r="BO70">
        <f t="shared" si="11"/>
        <v>158.3749603857496</v>
      </c>
    </row>
    <row r="71" spans="3:67" ht="15" customHeight="1" x14ac:dyDescent="0.25">
      <c r="C71"/>
      <c r="G71"/>
      <c r="H71"/>
      <c r="I71" s="1"/>
      <c r="J71" s="4"/>
      <c r="K71" s="4"/>
      <c r="L71" s="4"/>
      <c r="M71"/>
      <c r="N71"/>
      <c r="O71"/>
      <c r="P71"/>
      <c r="Q71"/>
      <c r="R71"/>
      <c r="S71"/>
      <c r="T71"/>
      <c r="U71" s="4"/>
      <c r="V71"/>
      <c r="W71" s="4"/>
      <c r="X71" s="4"/>
      <c r="Y71"/>
      <c r="BH71">
        <v>60</v>
      </c>
      <c r="BI71">
        <f t="shared" si="9"/>
        <v>166.51861209609018</v>
      </c>
      <c r="BK71">
        <v>60</v>
      </c>
      <c r="BL71">
        <f t="shared" si="10"/>
        <v>162.86380454059238</v>
      </c>
      <c r="BN71">
        <v>60</v>
      </c>
      <c r="BO71">
        <f t="shared" si="11"/>
        <v>158.40035782254145</v>
      </c>
    </row>
    <row r="72" spans="3:67" ht="15" customHeight="1" x14ac:dyDescent="0.25">
      <c r="C72"/>
      <c r="G72"/>
      <c r="H72"/>
      <c r="I72" s="1"/>
      <c r="J72" s="4"/>
      <c r="K72" s="4"/>
      <c r="L72" s="4"/>
      <c r="M72"/>
      <c r="N72"/>
      <c r="O72"/>
      <c r="P72"/>
      <c r="Q72"/>
      <c r="R72"/>
      <c r="S72"/>
      <c r="T72"/>
      <c r="U72" s="4"/>
      <c r="V72"/>
      <c r="W72" s="4"/>
      <c r="X72" s="4"/>
      <c r="Y72"/>
      <c r="BH72">
        <v>61</v>
      </c>
      <c r="BI72">
        <f t="shared" si="9"/>
        <v>166.55108043519797</v>
      </c>
    </row>
    <row r="73" spans="3:67" x14ac:dyDescent="0.25">
      <c r="C73"/>
      <c r="G73"/>
      <c r="H73"/>
      <c r="I73" s="1"/>
      <c r="J73" s="4"/>
      <c r="K73" s="4"/>
      <c r="L73" s="4"/>
      <c r="M73"/>
      <c r="N73"/>
      <c r="O73"/>
      <c r="P73"/>
      <c r="Q73"/>
      <c r="R73"/>
      <c r="S73"/>
      <c r="T73"/>
      <c r="U73" s="4"/>
      <c r="V73"/>
      <c r="W73" s="4"/>
      <c r="X73" s="4"/>
      <c r="Y73"/>
      <c r="BH73">
        <v>62</v>
      </c>
      <c r="BI73">
        <f t="shared" si="9"/>
        <v>166.57996224877093</v>
      </c>
    </row>
    <row r="74" spans="3:67" x14ac:dyDescent="0.25">
      <c r="C74"/>
      <c r="G74"/>
      <c r="H74"/>
      <c r="I74" s="1"/>
      <c r="J74" s="4"/>
      <c r="K74" s="4"/>
      <c r="L74" s="4"/>
      <c r="M74"/>
      <c r="N74"/>
      <c r="O74"/>
      <c r="P74"/>
      <c r="Q74"/>
      <c r="R74"/>
      <c r="S74"/>
      <c r="T74"/>
      <c r="U74" s="4"/>
      <c r="V74"/>
      <c r="W74" s="4"/>
      <c r="X74" s="4"/>
      <c r="Y74"/>
      <c r="BH74">
        <v>63</v>
      </c>
      <c r="BI74">
        <f t="shared" si="9"/>
        <v>166.60565318977973</v>
      </c>
    </row>
    <row r="75" spans="3:67" x14ac:dyDescent="0.25">
      <c r="BH75">
        <v>77</v>
      </c>
      <c r="BI75">
        <f t="shared" ref="BI75:BI118" si="16">$BF$12*TANH(($BA$12*BH75)/$BF$12)</f>
        <v>166.77227887204461</v>
      </c>
    </row>
    <row r="76" spans="3:67" x14ac:dyDescent="0.25">
      <c r="BH76">
        <v>78</v>
      </c>
      <c r="BI76">
        <f t="shared" si="16"/>
        <v>166.77671005970393</v>
      </c>
    </row>
    <row r="77" spans="3:67" x14ac:dyDescent="0.25">
      <c r="BH77">
        <v>79</v>
      </c>
      <c r="BI77">
        <f t="shared" si="16"/>
        <v>166.78065114200467</v>
      </c>
    </row>
    <row r="78" spans="3:67" x14ac:dyDescent="0.25">
      <c r="BH78">
        <v>80</v>
      </c>
      <c r="BI78">
        <f t="shared" si="16"/>
        <v>166.7841563166385</v>
      </c>
    </row>
    <row r="79" spans="3:67" x14ac:dyDescent="0.25">
      <c r="BH79">
        <v>81</v>
      </c>
      <c r="BI79">
        <f t="shared" si="16"/>
        <v>166.78727378994662</v>
      </c>
    </row>
    <row r="80" spans="3:67" x14ac:dyDescent="0.25">
      <c r="BH80">
        <v>82</v>
      </c>
      <c r="BI80">
        <f t="shared" si="16"/>
        <v>166.79004643881566</v>
      </c>
    </row>
    <row r="81" spans="60:61" x14ac:dyDescent="0.25">
      <c r="BH81">
        <v>83</v>
      </c>
      <c r="BI81">
        <f t="shared" si="16"/>
        <v>166.79251239953993</v>
      </c>
    </row>
    <row r="82" spans="60:61" x14ac:dyDescent="0.25">
      <c r="BH82">
        <v>84</v>
      </c>
      <c r="BI82">
        <f t="shared" si="16"/>
        <v>166.79470559168846</v>
      </c>
    </row>
    <row r="83" spans="60:61" x14ac:dyDescent="0.25">
      <c r="BH83">
        <v>85</v>
      </c>
      <c r="BI83">
        <f t="shared" si="16"/>
        <v>166.79665618413787</v>
      </c>
    </row>
    <row r="84" spans="60:61" x14ac:dyDescent="0.25">
      <c r="BH84">
        <v>86</v>
      </c>
      <c r="BI84">
        <f t="shared" si="16"/>
        <v>166.79839100964244</v>
      </c>
    </row>
    <row r="85" spans="60:61" x14ac:dyDescent="0.25">
      <c r="BH85">
        <v>87</v>
      </c>
      <c r="BI85">
        <f t="shared" si="16"/>
        <v>166.7999339336163</v>
      </c>
    </row>
    <row r="86" spans="60:61" x14ac:dyDescent="0.25">
      <c r="BH86">
        <v>88</v>
      </c>
      <c r="BI86">
        <f t="shared" si="16"/>
        <v>166.80130618217703</v>
      </c>
    </row>
    <row r="87" spans="60:61" x14ac:dyDescent="0.25">
      <c r="BH87">
        <v>89</v>
      </c>
      <c r="BI87">
        <f t="shared" si="16"/>
        <v>166.80252663394521</v>
      </c>
    </row>
    <row r="88" spans="60:61" x14ac:dyDescent="0.25">
      <c r="BH88">
        <v>90</v>
      </c>
      <c r="BI88">
        <f t="shared" si="16"/>
        <v>166.80361207960033</v>
      </c>
    </row>
    <row r="89" spans="60:61" x14ac:dyDescent="0.25">
      <c r="BH89">
        <v>91</v>
      </c>
      <c r="BI89">
        <f t="shared" si="16"/>
        <v>166.80457745275152</v>
      </c>
    </row>
    <row r="90" spans="60:61" x14ac:dyDescent="0.25">
      <c r="BH90">
        <v>92</v>
      </c>
      <c r="BI90">
        <f t="shared" si="16"/>
        <v>166.80543603529122</v>
      </c>
    </row>
    <row r="91" spans="60:61" x14ac:dyDescent="0.25">
      <c r="BH91">
        <v>93</v>
      </c>
      <c r="BI91">
        <f t="shared" si="16"/>
        <v>166.80619964004941</v>
      </c>
    </row>
    <row r="92" spans="60:61" x14ac:dyDescent="0.25">
      <c r="BH92">
        <v>94</v>
      </c>
      <c r="BI92">
        <f t="shared" si="16"/>
        <v>166.8068787732557</v>
      </c>
    </row>
    <row r="93" spans="60:61" x14ac:dyDescent="0.25">
      <c r="BH93">
        <v>95</v>
      </c>
      <c r="BI93">
        <f t="shared" si="16"/>
        <v>166.80748277904055</v>
      </c>
    </row>
    <row r="94" spans="60:61" x14ac:dyDescent="0.25">
      <c r="BH94">
        <v>96</v>
      </c>
      <c r="BI94">
        <f t="shared" si="16"/>
        <v>166.80801996795947</v>
      </c>
    </row>
    <row r="95" spans="60:61" x14ac:dyDescent="0.25">
      <c r="BH95">
        <v>97</v>
      </c>
      <c r="BI95">
        <f t="shared" si="16"/>
        <v>166.80849773130652</v>
      </c>
    </row>
    <row r="96" spans="60:61" x14ac:dyDescent="0.25">
      <c r="BH96">
        <v>98</v>
      </c>
      <c r="BI96">
        <f t="shared" si="16"/>
        <v>166.80892264278717</v>
      </c>
    </row>
    <row r="97" spans="60:61" x14ac:dyDescent="0.25">
      <c r="BH97">
        <v>99</v>
      </c>
      <c r="BI97">
        <f t="shared" si="16"/>
        <v>166.80930054894827</v>
      </c>
    </row>
    <row r="98" spans="60:61" x14ac:dyDescent="0.25">
      <c r="BH98">
        <v>100</v>
      </c>
      <c r="BI98">
        <f t="shared" si="16"/>
        <v>166.80963664960703</v>
      </c>
    </row>
    <row r="99" spans="60:61" x14ac:dyDescent="0.25">
      <c r="BH99">
        <v>101</v>
      </c>
      <c r="BI99">
        <f t="shared" si="16"/>
        <v>166.80993556938583</v>
      </c>
    </row>
    <row r="100" spans="60:61" x14ac:dyDescent="0.25">
      <c r="BH100">
        <v>102</v>
      </c>
      <c r="BI100">
        <f t="shared" si="16"/>
        <v>166.81020142133525</v>
      </c>
    </row>
    <row r="101" spans="60:61" x14ac:dyDescent="0.25">
      <c r="BH101">
        <v>103</v>
      </c>
      <c r="BI101">
        <f t="shared" si="16"/>
        <v>166.81043786352072</v>
      </c>
    </row>
    <row r="102" spans="60:61" x14ac:dyDescent="0.25">
      <c r="BH102">
        <v>104</v>
      </c>
      <c r="BI102">
        <f t="shared" si="16"/>
        <v>166.81064814935041</v>
      </c>
    </row>
    <row r="103" spans="60:61" x14ac:dyDescent="0.25">
      <c r="BH103">
        <v>105</v>
      </c>
      <c r="BI103">
        <f t="shared" si="16"/>
        <v>166.81083517233674</v>
      </c>
    </row>
    <row r="104" spans="60:61" x14ac:dyDescent="0.25">
      <c r="BH104">
        <v>106</v>
      </c>
      <c r="BI104">
        <f t="shared" si="16"/>
        <v>166.81100150590686</v>
      </c>
    </row>
    <row r="105" spans="60:61" x14ac:dyDescent="0.25">
      <c r="BH105">
        <v>107</v>
      </c>
      <c r="BI105">
        <f t="shared" si="16"/>
        <v>166.81114943880996</v>
      </c>
    </row>
    <row r="106" spans="60:61" x14ac:dyDescent="0.25">
      <c r="BH106">
        <v>108</v>
      </c>
      <c r="BI106">
        <f t="shared" si="16"/>
        <v>166.81128100660789</v>
      </c>
    </row>
    <row r="107" spans="60:61" x14ac:dyDescent="0.25">
      <c r="BH107">
        <v>109</v>
      </c>
      <c r="BI107">
        <f t="shared" si="16"/>
        <v>166.8113980196826</v>
      </c>
    </row>
    <row r="108" spans="60:61" x14ac:dyDescent="0.25">
      <c r="BH108">
        <v>110</v>
      </c>
      <c r="BI108">
        <f t="shared" si="16"/>
        <v>166.81150208814572</v>
      </c>
    </row>
    <row r="109" spans="60:61" x14ac:dyDescent="0.25">
      <c r="BH109">
        <v>111</v>
      </c>
      <c r="BI109">
        <f t="shared" si="16"/>
        <v>166.81159464399252</v>
      </c>
    </row>
    <row r="110" spans="60:61" x14ac:dyDescent="0.25">
      <c r="BH110">
        <v>112</v>
      </c>
      <c r="BI110">
        <f t="shared" si="16"/>
        <v>166.81167696080558</v>
      </c>
    </row>
    <row r="111" spans="60:61" x14ac:dyDescent="0.25">
      <c r="BH111">
        <v>113</v>
      </c>
      <c r="BI111">
        <f t="shared" si="16"/>
        <v>166.81175017127853</v>
      </c>
    </row>
    <row r="112" spans="60:61" x14ac:dyDescent="0.25">
      <c r="BH112">
        <v>114</v>
      </c>
      <c r="BI112">
        <f t="shared" si="16"/>
        <v>166.81181528280163</v>
      </c>
    </row>
    <row r="113" spans="60:61" x14ac:dyDescent="0.25">
      <c r="BH113">
        <v>115</v>
      </c>
      <c r="BI113">
        <f t="shared" si="16"/>
        <v>166.81187319132306</v>
      </c>
    </row>
    <row r="114" spans="60:61" x14ac:dyDescent="0.25">
      <c r="BH114">
        <v>116</v>
      </c>
      <c r="BI114">
        <f t="shared" si="16"/>
        <v>166.81192469367716</v>
      </c>
    </row>
    <row r="115" spans="60:61" x14ac:dyDescent="0.25">
      <c r="BH115">
        <v>117</v>
      </c>
      <c r="BI115">
        <f t="shared" si="16"/>
        <v>166.81197049854867</v>
      </c>
    </row>
    <row r="116" spans="60:61" x14ac:dyDescent="0.25">
      <c r="BH116">
        <v>118</v>
      </c>
      <c r="BI116">
        <f t="shared" si="16"/>
        <v>166.81201123622409</v>
      </c>
    </row>
    <row r="117" spans="60:61" x14ac:dyDescent="0.25">
      <c r="BH117">
        <v>119</v>
      </c>
      <c r="BI117">
        <f t="shared" si="16"/>
        <v>166.81204746726451</v>
      </c>
    </row>
    <row r="118" spans="60:61" x14ac:dyDescent="0.25">
      <c r="BH118">
        <v>120</v>
      </c>
      <c r="BI118">
        <f t="shared" si="16"/>
        <v>166.81207969021895</v>
      </c>
    </row>
  </sheetData>
  <sheetProtection selectLockedCells="1"/>
  <mergeCells count="70">
    <mergeCell ref="AV9:BF9"/>
    <mergeCell ref="H49:H50"/>
    <mergeCell ref="C49:G49"/>
    <mergeCell ref="C54:G54"/>
    <mergeCell ref="H54:H55"/>
    <mergeCell ref="I54:I55"/>
    <mergeCell ref="N17:R17"/>
    <mergeCell ref="N18:R18"/>
    <mergeCell ref="N19:R19"/>
    <mergeCell ref="N20:R20"/>
    <mergeCell ref="N13:R13"/>
    <mergeCell ref="N14:R14"/>
    <mergeCell ref="C36:G36"/>
    <mergeCell ref="C30:G30"/>
    <mergeCell ref="C29:G29"/>
    <mergeCell ref="D45:G45"/>
    <mergeCell ref="B11:B16"/>
    <mergeCell ref="B9:I9"/>
    <mergeCell ref="M9:T9"/>
    <mergeCell ref="N11:T11"/>
    <mergeCell ref="B3:T3"/>
    <mergeCell ref="N12:R12"/>
    <mergeCell ref="R4:T6"/>
    <mergeCell ref="B4:Q6"/>
    <mergeCell ref="B47:B50"/>
    <mergeCell ref="S13:S14"/>
    <mergeCell ref="N16:T16"/>
    <mergeCell ref="C16:G16"/>
    <mergeCell ref="C13:G13"/>
    <mergeCell ref="C14:G14"/>
    <mergeCell ref="M16:M20"/>
    <mergeCell ref="T13:T14"/>
    <mergeCell ref="C19:G19"/>
    <mergeCell ref="C26:G26"/>
    <mergeCell ref="C15:G15"/>
    <mergeCell ref="C22:G22"/>
    <mergeCell ref="C23:G23"/>
    <mergeCell ref="C27:G27"/>
    <mergeCell ref="C25:I25"/>
    <mergeCell ref="I49:I50"/>
    <mergeCell ref="C53:G53"/>
    <mergeCell ref="D44:G44"/>
    <mergeCell ref="C55:G55"/>
    <mergeCell ref="M11:M14"/>
    <mergeCell ref="C20:G20"/>
    <mergeCell ref="C21:G21"/>
    <mergeCell ref="B52:B55"/>
    <mergeCell ref="C12:G12"/>
    <mergeCell ref="C11:I11"/>
    <mergeCell ref="C18:I18"/>
    <mergeCell ref="C47:I47"/>
    <mergeCell ref="C52:I52"/>
    <mergeCell ref="C48:G48"/>
    <mergeCell ref="C50:G50"/>
    <mergeCell ref="C37:G37"/>
    <mergeCell ref="C38:G38"/>
    <mergeCell ref="B25:B30"/>
    <mergeCell ref="B18:B23"/>
    <mergeCell ref="B32:B38"/>
    <mergeCell ref="C34:G34"/>
    <mergeCell ref="D42:G42"/>
    <mergeCell ref="D43:G43"/>
    <mergeCell ref="B40:B45"/>
    <mergeCell ref="C28:G28"/>
    <mergeCell ref="C32:I32"/>
    <mergeCell ref="C33:G33"/>
    <mergeCell ref="C40:I40"/>
    <mergeCell ref="C41:G41"/>
    <mergeCell ref="H34:H35"/>
    <mergeCell ref="I34:I35"/>
  </mergeCells>
  <phoneticPr fontId="28" type="noConversion"/>
  <dataValidations disablePrompts="1" count="1">
    <dataValidation type="decimal" allowBlank="1" showInputMessage="1" showErrorMessage="1" errorTitle="ATENÇÃO - ALTURA FORA DO LIMITE" error="A altura de implantação deve ser maior que 0 e menor que o Apogeu." sqref="I34:I35" xr:uid="{00000000-0002-0000-0100-000000000000}">
      <formula1>1</formula1>
      <formula2>I27</formula2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3"/>
  <dimension ref="A1:BB110"/>
  <sheetViews>
    <sheetView showGridLines="0" showRowColHeaders="0" zoomScaleNormal="100" workbookViewId="0">
      <selection activeCell="I13" sqref="I13:I14"/>
    </sheetView>
  </sheetViews>
  <sheetFormatPr defaultRowHeight="15" x14ac:dyDescent="0.25"/>
  <cols>
    <col min="1" max="1" width="2.7109375" customWidth="1"/>
    <col min="2" max="2" width="5.7109375" customWidth="1"/>
    <col min="3" max="3" width="22.7109375" customWidth="1"/>
    <col min="4" max="5" width="2.7109375" customWidth="1"/>
    <col min="6" max="6" width="6.7109375" customWidth="1"/>
    <col min="7" max="7" width="26.7109375" customWidth="1"/>
    <col min="8" max="9" width="9.7109375" customWidth="1"/>
    <col min="10" max="10" width="3.7109375" customWidth="1"/>
    <col min="11" max="11" width="0.28515625" customWidth="1"/>
    <col min="12" max="12" width="3.7109375" customWidth="1"/>
    <col min="13" max="13" width="5.7109375" customWidth="1"/>
    <col min="14" max="14" width="22.7109375" customWidth="1"/>
    <col min="15" max="16" width="2.7109375" customWidth="1"/>
    <col min="17" max="17" width="6.7109375" customWidth="1"/>
    <col min="18" max="18" width="26.7109375" customWidth="1"/>
    <col min="19" max="20" width="9.7109375" customWidth="1"/>
    <col min="21" max="21" width="15.7109375" customWidth="1"/>
    <col min="22" max="23" width="9.140625" customWidth="1"/>
  </cols>
  <sheetData>
    <row r="1" spans="1:52" s="83" customFormat="1" ht="24.95" customHeight="1" x14ac:dyDescent="0.25">
      <c r="A1" s="84"/>
      <c r="B1" s="87" t="s">
        <v>80</v>
      </c>
      <c r="C1" s="77"/>
      <c r="D1" s="77"/>
      <c r="E1" s="77"/>
      <c r="F1" s="77"/>
      <c r="G1" s="77"/>
      <c r="H1" s="78"/>
      <c r="I1" s="81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</row>
    <row r="2" spans="1:52" ht="15.95" customHeight="1" x14ac:dyDescent="0.25"/>
    <row r="3" spans="1:52" ht="15.95" customHeight="1" x14ac:dyDescent="0.25">
      <c r="B3" s="307" t="s">
        <v>14</v>
      </c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</row>
    <row r="4" spans="1:52" ht="15.95" customHeight="1" x14ac:dyDescent="0.25">
      <c r="B4" s="315" t="s">
        <v>271</v>
      </c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37"/>
      <c r="S4" s="337"/>
      <c r="T4" s="337"/>
    </row>
    <row r="5" spans="1:52" ht="15.95" customHeight="1" x14ac:dyDescent="0.25"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37"/>
      <c r="S5" s="337"/>
      <c r="T5" s="337"/>
    </row>
    <row r="6" spans="1:52" ht="15.95" customHeight="1" x14ac:dyDescent="0.25"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  <c r="M6" s="315"/>
      <c r="N6" s="315"/>
      <c r="O6" s="315"/>
      <c r="P6" s="315"/>
      <c r="Q6" s="315"/>
      <c r="R6" s="337"/>
      <c r="S6" s="337"/>
      <c r="T6" s="337"/>
      <c r="AO6" s="356" t="s">
        <v>211</v>
      </c>
      <c r="AP6" s="356"/>
      <c r="AQ6" s="356"/>
      <c r="AS6" s="356" t="s">
        <v>209</v>
      </c>
      <c r="AT6" s="356"/>
      <c r="AU6" s="356"/>
      <c r="AV6" s="356"/>
      <c r="AW6" s="107"/>
      <c r="AX6" s="356" t="s">
        <v>207</v>
      </c>
      <c r="AY6" s="356"/>
      <c r="AZ6" s="356"/>
    </row>
    <row r="7" spans="1:52" ht="15.95" customHeight="1" x14ac:dyDescent="0.25">
      <c r="B7" s="34"/>
      <c r="C7" s="34"/>
      <c r="D7" s="34"/>
      <c r="E7" s="34"/>
      <c r="F7" s="34"/>
      <c r="G7" s="38"/>
      <c r="H7" s="38"/>
      <c r="I7" s="38"/>
      <c r="AJ7" s="143"/>
      <c r="AO7" s="161" t="s">
        <v>24</v>
      </c>
      <c r="AP7" s="89" t="str">
        <f>"x [cm]"</f>
        <v>x [cm]</v>
      </c>
      <c r="AQ7" s="89" t="str">
        <f>"y [cm]"</f>
        <v>y [cm]</v>
      </c>
      <c r="AS7" s="142" t="s">
        <v>210</v>
      </c>
      <c r="AT7" s="357">
        <f>I19/99</f>
        <v>6.2650121460429706E-3</v>
      </c>
      <c r="AU7" s="357"/>
      <c r="AV7" s="357"/>
      <c r="AW7" s="107"/>
      <c r="AX7" s="161" t="s">
        <v>24</v>
      </c>
      <c r="AY7" s="89" t="str">
        <f>"x [cm]"</f>
        <v>x [cm]</v>
      </c>
      <c r="AZ7" s="89" t="str">
        <f>"y [cm]"</f>
        <v>y [cm]</v>
      </c>
    </row>
    <row r="8" spans="1:52" ht="15.95" customHeight="1" x14ac:dyDescent="0.25">
      <c r="B8" s="33"/>
      <c r="C8" s="33"/>
      <c r="D8" s="33"/>
      <c r="E8" s="33"/>
      <c r="F8" s="33"/>
      <c r="G8" s="39"/>
      <c r="H8" s="39"/>
      <c r="I8" s="39"/>
      <c r="AJ8" s="143"/>
      <c r="AO8" s="114" t="s">
        <v>133</v>
      </c>
      <c r="AP8" s="109">
        <v>0</v>
      </c>
      <c r="AQ8" s="109">
        <v>0</v>
      </c>
      <c r="AW8" s="135"/>
      <c r="AX8" s="114" t="s">
        <v>133</v>
      </c>
      <c r="AY8" s="109">
        <f>$I$19</f>
        <v>0.62023620245825406</v>
      </c>
      <c r="AZ8" s="109">
        <f>0</f>
        <v>0</v>
      </c>
    </row>
    <row r="9" spans="1:52" ht="15.95" customHeight="1" x14ac:dyDescent="0.25">
      <c r="B9" s="248" t="s">
        <v>18</v>
      </c>
      <c r="C9" s="248"/>
      <c r="D9" s="248"/>
      <c r="E9" s="248"/>
      <c r="F9" s="248"/>
      <c r="G9" s="248"/>
      <c r="H9" s="248"/>
      <c r="I9" s="248"/>
      <c r="K9" s="29"/>
      <c r="M9" s="306" t="s">
        <v>19</v>
      </c>
      <c r="N9" s="306"/>
      <c r="O9" s="306"/>
      <c r="P9" s="306"/>
      <c r="Q9" s="306"/>
      <c r="R9" s="306"/>
      <c r="S9" s="306"/>
      <c r="T9" s="306"/>
      <c r="AG9" s="355"/>
      <c r="AH9" s="355"/>
      <c r="AI9" s="355"/>
      <c r="AJ9" s="355"/>
      <c r="AO9" s="114" t="s">
        <v>134</v>
      </c>
      <c r="AP9" s="109">
        <f>I19</f>
        <v>0.62023620245825406</v>
      </c>
      <c r="AQ9" s="109">
        <v>0</v>
      </c>
      <c r="AS9" s="356" t="s">
        <v>206</v>
      </c>
      <c r="AT9" s="356"/>
      <c r="AU9" s="356"/>
      <c r="AV9" s="356"/>
      <c r="AW9" s="135"/>
      <c r="AX9" s="114" t="s">
        <v>134</v>
      </c>
      <c r="AY9" s="109">
        <f>$I$19</f>
        <v>0.62023620245825406</v>
      </c>
      <c r="AZ9" s="109">
        <f>AZ10/2</f>
        <v>0.21925349756899279</v>
      </c>
    </row>
    <row r="10" spans="1:52" ht="15.95" customHeight="1" x14ac:dyDescent="0.25">
      <c r="K10" s="29"/>
      <c r="AG10" s="107"/>
      <c r="AH10" s="107"/>
      <c r="AI10" s="107"/>
      <c r="AJ10" s="107"/>
      <c r="AO10" s="114" t="s">
        <v>135</v>
      </c>
      <c r="AP10" s="109">
        <f>I19*2</f>
        <v>1.2404724049165081</v>
      </c>
      <c r="AQ10" s="109">
        <v>0</v>
      </c>
      <c r="AS10" s="89" t="s">
        <v>24</v>
      </c>
      <c r="AT10" s="89" t="str">
        <f>"x [cm]"</f>
        <v>x [cm]</v>
      </c>
      <c r="AU10" s="89" t="str">
        <f>"y [cm]"</f>
        <v>y [cm]</v>
      </c>
      <c r="AV10" s="89" t="str">
        <f>"-x [cm]"</f>
        <v>-x [cm]</v>
      </c>
      <c r="AW10" s="135"/>
      <c r="AX10" s="114" t="s">
        <v>135</v>
      </c>
      <c r="AY10" s="109">
        <f>$I$19</f>
        <v>0.62023620245825406</v>
      </c>
      <c r="AZ10" s="109">
        <f>I18</f>
        <v>0.43850699513798558</v>
      </c>
    </row>
    <row r="11" spans="1:52" ht="15.95" customHeight="1" x14ac:dyDescent="0.25">
      <c r="B11" s="292" t="s">
        <v>81</v>
      </c>
      <c r="C11" s="255" t="s">
        <v>82</v>
      </c>
      <c r="D11" s="255"/>
      <c r="E11" s="255"/>
      <c r="F11" s="255"/>
      <c r="G11" s="255"/>
      <c r="H11" s="255"/>
      <c r="I11" s="255"/>
      <c r="J11" s="2"/>
      <c r="K11" s="16"/>
      <c r="L11" s="17"/>
      <c r="AG11" s="7"/>
      <c r="AH11" s="135"/>
      <c r="AI11" s="135"/>
      <c r="AJ11" s="135"/>
      <c r="AO11" s="167" t="str">
        <f>"Diâmetro: "&amp;ROUND(AP10,3)&amp;" m"</f>
        <v>Diâmetro: 1,24 m</v>
      </c>
      <c r="AS11" s="8">
        <v>1</v>
      </c>
      <c r="AT11" s="109">
        <f>$I$19</f>
        <v>0.62023620245825406</v>
      </c>
      <c r="AU11" s="109">
        <f>$I$18</f>
        <v>0.43850699513798558</v>
      </c>
      <c r="AV11" s="109">
        <f>-AT11+2*$I$19</f>
        <v>0.62023620245825406</v>
      </c>
      <c r="AW11" s="135"/>
      <c r="AX11" s="167" t="str">
        <f>"b: "&amp;ROUND(I18,3)&amp;" m"</f>
        <v>b: 0,439 m</v>
      </c>
    </row>
    <row r="12" spans="1:52" s="4" customFormat="1" ht="15.95" customHeight="1" x14ac:dyDescent="0.25">
      <c r="B12" s="292"/>
      <c r="C12" s="259" t="s">
        <v>33</v>
      </c>
      <c r="D12" s="260"/>
      <c r="E12" s="260"/>
      <c r="F12" s="260"/>
      <c r="G12" s="261"/>
      <c r="H12" s="85" t="s">
        <v>34</v>
      </c>
      <c r="I12" s="85" t="s">
        <v>35</v>
      </c>
      <c r="J12" s="7"/>
      <c r="K12" s="16"/>
      <c r="L12" s="17"/>
      <c r="AG12" s="7"/>
      <c r="AH12" s="135"/>
      <c r="AI12" s="135"/>
      <c r="AJ12" s="135"/>
      <c r="AK12"/>
      <c r="AS12" s="8">
        <v>2</v>
      </c>
      <c r="AT12" s="109">
        <f>AT11+Gomos!$AT$7</f>
        <v>0.62650121460429709</v>
      </c>
      <c r="AU12" s="109">
        <f>SQRT( (1-((AT12-$I$19)^2/($I$19^2)))*($I$18^2))</f>
        <v>0.4384846240441701</v>
      </c>
      <c r="AV12" s="109">
        <f t="shared" ref="AV12:AV75" si="0">-AT12+2*$I$19</f>
        <v>0.61397119031221103</v>
      </c>
      <c r="AW12" s="135"/>
      <c r="AX12"/>
      <c r="AY12"/>
      <c r="AZ12"/>
    </row>
    <row r="13" spans="1:52" ht="15.95" customHeight="1" x14ac:dyDescent="0.25">
      <c r="B13" s="292"/>
      <c r="C13" s="352" t="s">
        <v>167</v>
      </c>
      <c r="D13" s="353"/>
      <c r="E13" s="353"/>
      <c r="F13" s="353"/>
      <c r="G13" s="354"/>
      <c r="H13" s="344" t="s">
        <v>40</v>
      </c>
      <c r="I13" s="342">
        <v>12</v>
      </c>
      <c r="J13" s="2"/>
      <c r="K13" s="16"/>
      <c r="L13" s="17"/>
      <c r="AC13" s="4"/>
      <c r="AG13" s="7"/>
      <c r="AH13" s="135"/>
      <c r="AI13" s="135"/>
      <c r="AJ13" s="135"/>
      <c r="AO13" s="356" t="s">
        <v>212</v>
      </c>
      <c r="AP13" s="356"/>
      <c r="AQ13" s="356"/>
      <c r="AS13" s="8">
        <v>3</v>
      </c>
      <c r="AT13" s="109">
        <f>AT12+Gomos!$AT$7</f>
        <v>0.63276622675034011</v>
      </c>
      <c r="AU13" s="109">
        <f t="shared" ref="AU13:AU76" si="1">SQRT( (1-((AT13-$I$19)^2/($I$19^2)))*($I$18^2))</f>
        <v>0.43841750391355611</v>
      </c>
      <c r="AV13" s="109">
        <f t="shared" si="0"/>
        <v>0.60770617816616801</v>
      </c>
      <c r="AW13" s="135"/>
      <c r="AX13" s="356" t="s">
        <v>208</v>
      </c>
      <c r="AY13" s="356"/>
      <c r="AZ13" s="356"/>
    </row>
    <row r="14" spans="1:52" ht="15.95" customHeight="1" x14ac:dyDescent="0.25">
      <c r="B14" s="292"/>
      <c r="C14" s="334" t="s">
        <v>265</v>
      </c>
      <c r="D14" s="335"/>
      <c r="E14" s="335"/>
      <c r="F14" s="335"/>
      <c r="G14" s="336"/>
      <c r="H14" s="345"/>
      <c r="I14" s="343"/>
      <c r="J14" s="2"/>
      <c r="K14" s="16"/>
      <c r="L14" s="17"/>
      <c r="AC14" s="4"/>
      <c r="AG14" s="7"/>
      <c r="AH14" s="135"/>
      <c r="AI14" s="135"/>
      <c r="AJ14" s="135"/>
      <c r="AO14" s="161" t="s">
        <v>24</v>
      </c>
      <c r="AP14" s="89" t="str">
        <f>"x [cm]"</f>
        <v>x [cm]</v>
      </c>
      <c r="AQ14" s="89" t="str">
        <f>"y [cm]"</f>
        <v>y [cm]</v>
      </c>
      <c r="AS14" s="8">
        <v>4</v>
      </c>
      <c r="AT14" s="109">
        <f>AT13+Gomos!$AT$7</f>
        <v>0.63903123889638314</v>
      </c>
      <c r="AU14" s="109">
        <f t="shared" si="1"/>
        <v>0.43830561418815139</v>
      </c>
      <c r="AV14" s="109">
        <f t="shared" si="0"/>
        <v>0.60144116602012498</v>
      </c>
      <c r="AW14" s="135"/>
      <c r="AX14" s="161" t="s">
        <v>24</v>
      </c>
      <c r="AY14" s="89" t="str">
        <f>"x [cm]"</f>
        <v>x [cm]</v>
      </c>
      <c r="AZ14" s="89" t="str">
        <f>"y [cm]"</f>
        <v>y [cm]</v>
      </c>
    </row>
    <row r="15" spans="1:52" ht="15.95" customHeight="1" x14ac:dyDescent="0.25">
      <c r="B15" s="17"/>
      <c r="C15" s="17"/>
      <c r="D15" s="17"/>
      <c r="E15" s="17"/>
      <c r="F15" s="17"/>
      <c r="G15" s="17"/>
      <c r="H15" s="17"/>
      <c r="I15" s="17"/>
      <c r="J15" s="2"/>
      <c r="K15" s="16"/>
      <c r="L15" s="17"/>
      <c r="M15" s="17"/>
      <c r="N15" s="17"/>
      <c r="O15" s="17"/>
      <c r="P15" s="17"/>
      <c r="AC15" s="4"/>
      <c r="AG15" s="7"/>
      <c r="AH15" s="135"/>
      <c r="AI15" s="135"/>
      <c r="AJ15" s="135"/>
      <c r="AO15" s="114" t="s">
        <v>133</v>
      </c>
      <c r="AP15" s="109">
        <v>0</v>
      </c>
      <c r="AQ15" s="109">
        <v>0</v>
      </c>
      <c r="AS15" s="8">
        <v>5</v>
      </c>
      <c r="AT15" s="109">
        <f>AT14+Gomos!$AT$7</f>
        <v>0.64529625104242616</v>
      </c>
      <c r="AU15" s="109">
        <f t="shared" si="1"/>
        <v>0.43814892056963473</v>
      </c>
      <c r="AV15" s="109">
        <f t="shared" si="0"/>
        <v>0.59517615387408196</v>
      </c>
      <c r="AW15" s="135"/>
      <c r="AX15" s="114" t="s">
        <v>133</v>
      </c>
      <c r="AY15" s="109">
        <f>$I$19</f>
        <v>0.62023620245825406</v>
      </c>
      <c r="AZ15" s="109">
        <v>0</v>
      </c>
    </row>
    <row r="16" spans="1:52" ht="15.95" customHeight="1" x14ac:dyDescent="0.25">
      <c r="B16" s="349" t="s">
        <v>83</v>
      </c>
      <c r="C16" s="255" t="s">
        <v>172</v>
      </c>
      <c r="D16" s="255"/>
      <c r="E16" s="255"/>
      <c r="F16" s="255"/>
      <c r="G16" s="255"/>
      <c r="H16" s="255"/>
      <c r="I16" s="255"/>
      <c r="J16" s="2"/>
      <c r="K16" s="16"/>
      <c r="L16" s="17"/>
      <c r="M16" s="17"/>
      <c r="N16" s="17"/>
      <c r="O16" s="17"/>
      <c r="P16" s="17"/>
      <c r="AC16" s="4"/>
      <c r="AG16" s="7"/>
      <c r="AH16" s="135"/>
      <c r="AI16" s="135"/>
      <c r="AJ16" s="135"/>
      <c r="AO16" s="114" t="s">
        <v>134</v>
      </c>
      <c r="AP16" s="109">
        <v>0</v>
      </c>
      <c r="AQ16" s="109">
        <f>AQ17/2</f>
        <v>0.21925349756899279</v>
      </c>
      <c r="AS16" s="8">
        <v>6</v>
      </c>
      <c r="AT16" s="109">
        <f>AT15+Gomos!$AT$7</f>
        <v>0.65156126318846919</v>
      </c>
      <c r="AU16" s="109">
        <f t="shared" si="1"/>
        <v>0.43794737496672287</v>
      </c>
      <c r="AV16" s="109">
        <f t="shared" si="0"/>
        <v>0.58891114172803893</v>
      </c>
      <c r="AW16" s="135"/>
      <c r="AX16" s="114" t="s">
        <v>134</v>
      </c>
      <c r="AY16" s="109">
        <f>(AY15+AY17)/2</f>
        <v>0.93035430368738115</v>
      </c>
      <c r="AZ16" s="109">
        <v>0</v>
      </c>
    </row>
    <row r="17" spans="2:54" s="3" customFormat="1" ht="15.95" customHeight="1" x14ac:dyDescent="0.25">
      <c r="B17" s="350"/>
      <c r="C17" s="259" t="s">
        <v>33</v>
      </c>
      <c r="D17" s="260"/>
      <c r="E17" s="260"/>
      <c r="F17" s="260"/>
      <c r="G17" s="261"/>
      <c r="H17" s="85" t="s">
        <v>34</v>
      </c>
      <c r="I17" s="85" t="s">
        <v>35</v>
      </c>
      <c r="J17" s="7"/>
      <c r="K17" s="16"/>
      <c r="L17" s="17"/>
      <c r="M17" s="17"/>
      <c r="N17" s="17"/>
      <c r="O17" s="2"/>
      <c r="P17" s="2"/>
      <c r="T17"/>
      <c r="U17"/>
      <c r="V17"/>
      <c r="AC17" s="4"/>
      <c r="AG17" s="7"/>
      <c r="AH17" s="135"/>
      <c r="AI17" s="135"/>
      <c r="AJ17" s="135"/>
      <c r="AO17" s="114" t="s">
        <v>135</v>
      </c>
      <c r="AP17" s="109">
        <v>0</v>
      </c>
      <c r="AQ17" s="109">
        <f>I18</f>
        <v>0.43850699513798558</v>
      </c>
      <c r="AS17" s="8">
        <v>7</v>
      </c>
      <c r="AT17" s="109">
        <f>AT16+Gomos!$AT$7</f>
        <v>0.65782627533451221</v>
      </c>
      <c r="AU17" s="109">
        <f t="shared" si="1"/>
        <v>0.43770091542122064</v>
      </c>
      <c r="AV17" s="109">
        <f t="shared" si="0"/>
        <v>0.58264612958199591</v>
      </c>
      <c r="AW17" s="135"/>
      <c r="AX17" s="114" t="s">
        <v>135</v>
      </c>
      <c r="AY17" s="109">
        <f>$I$19*2</f>
        <v>1.2404724049165081</v>
      </c>
      <c r="AZ17" s="109">
        <v>0</v>
      </c>
    </row>
    <row r="18" spans="2:54" s="3" customFormat="1" ht="15.95" customHeight="1" x14ac:dyDescent="0.25">
      <c r="B18" s="350"/>
      <c r="C18" s="252" t="s">
        <v>159</v>
      </c>
      <c r="D18" s="253"/>
      <c r="E18" s="253"/>
      <c r="F18" s="253"/>
      <c r="G18" s="254"/>
      <c r="H18" s="40" t="s">
        <v>42</v>
      </c>
      <c r="I18" s="76">
        <f>I19*0.707</f>
        <v>0.43850699513798558</v>
      </c>
      <c r="J18" s="7"/>
      <c r="K18" s="16"/>
      <c r="L18" s="17"/>
      <c r="M18" s="17"/>
      <c r="N18" s="17"/>
      <c r="O18" s="17"/>
      <c r="P18" s="17"/>
      <c r="T18"/>
      <c r="U18"/>
      <c r="V18"/>
      <c r="AC18" s="4"/>
      <c r="AG18" s="7"/>
      <c r="AH18" s="135"/>
      <c r="AI18" s="135"/>
      <c r="AJ18" s="135"/>
      <c r="AO18" s="167" t="str">
        <f>"Altura: "&amp;ROUND(AQ17,3)&amp;" m"</f>
        <v>Altura: 0,439 m</v>
      </c>
      <c r="AP18"/>
      <c r="AQ18"/>
      <c r="AS18" s="8">
        <v>8</v>
      </c>
      <c r="AT18" s="109">
        <f>AT17+Gomos!$AT$7</f>
        <v>0.66409128748055524</v>
      </c>
      <c r="AU18" s="109">
        <f t="shared" si="1"/>
        <v>0.43740946601248754</v>
      </c>
      <c r="AV18" s="109">
        <f t="shared" si="0"/>
        <v>0.57638111743595288</v>
      </c>
      <c r="AW18" s="135"/>
      <c r="AX18" s="167" t="str">
        <f>"a: "&amp;ROUND(I19,3)&amp;" m"</f>
        <v>a: 0,62 m</v>
      </c>
      <c r="AY18" s="6"/>
      <c r="AZ18"/>
    </row>
    <row r="19" spans="2:54" ht="15.95" customHeight="1" x14ac:dyDescent="0.25">
      <c r="B19" s="351"/>
      <c r="C19" s="252" t="s">
        <v>160</v>
      </c>
      <c r="D19" s="253"/>
      <c r="E19" s="253"/>
      <c r="F19" s="253"/>
      <c r="G19" s="254"/>
      <c r="H19" s="40" t="s">
        <v>42</v>
      </c>
      <c r="I19" s="76">
        <f>Dimensionamento!T18/2</f>
        <v>0.62023620245825406</v>
      </c>
      <c r="J19" s="2"/>
      <c r="K19" s="16"/>
      <c r="L19" s="17"/>
      <c r="M19" s="17"/>
      <c r="N19" s="17"/>
      <c r="O19" s="17"/>
      <c r="P19" s="17"/>
      <c r="AC19" s="4"/>
      <c r="AG19" s="7"/>
      <c r="AH19" s="135"/>
      <c r="AI19" s="135"/>
      <c r="AJ19" s="135"/>
      <c r="AS19" s="8">
        <v>9</v>
      </c>
      <c r="AT19" s="109">
        <f>AT18+Gomos!$AT$7</f>
        <v>0.67035629962659826</v>
      </c>
      <c r="AU19" s="109">
        <f t="shared" si="1"/>
        <v>0.43707293673997749</v>
      </c>
      <c r="AV19" s="109">
        <f t="shared" si="0"/>
        <v>0.57011610528990986</v>
      </c>
      <c r="AW19" s="135"/>
      <c r="AY19" s="6"/>
    </row>
    <row r="20" spans="2:54" ht="15.95" customHeight="1" x14ac:dyDescent="0.25">
      <c r="B20" s="3"/>
      <c r="C20" s="3"/>
      <c r="D20" s="3"/>
      <c r="E20" s="3"/>
      <c r="F20" s="3"/>
      <c r="G20" s="3"/>
      <c r="H20" s="3"/>
      <c r="I20" s="3"/>
      <c r="J20" s="2"/>
      <c r="K20" s="16"/>
      <c r="L20" s="17"/>
      <c r="M20" s="17"/>
      <c r="N20" s="17"/>
      <c r="O20" s="17"/>
      <c r="P20" s="17"/>
      <c r="AC20" s="4"/>
      <c r="AG20" s="7"/>
      <c r="AH20" s="135"/>
      <c r="AI20" s="135"/>
      <c r="AJ20" s="135"/>
      <c r="AS20" s="8">
        <v>10</v>
      </c>
      <c r="AT20" s="109">
        <f>AT19+Gomos!$AT$7</f>
        <v>0.67662131177264129</v>
      </c>
      <c r="AU20" s="109">
        <f t="shared" si="1"/>
        <v>0.43669122338342342</v>
      </c>
      <c r="AV20" s="109">
        <f t="shared" si="0"/>
        <v>0.56385109314386683</v>
      </c>
      <c r="AW20" s="135"/>
      <c r="AX20" s="166" t="str">
        <f>" Raio menor da semielipse (b): "&amp;ROUND(I18,3)&amp;" m"</f>
        <v xml:space="preserve"> Raio menor da semielipse (b): 0,439 m</v>
      </c>
      <c r="AY20" s="166"/>
      <c r="AZ20" s="166"/>
      <c r="BA20" s="166"/>
      <c r="BB20" s="166"/>
    </row>
    <row r="21" spans="2:54" ht="15.95" customHeight="1" x14ac:dyDescent="0.25">
      <c r="B21" s="266" t="s">
        <v>84</v>
      </c>
      <c r="C21" s="270" t="s">
        <v>173</v>
      </c>
      <c r="D21" s="271"/>
      <c r="E21" s="271"/>
      <c r="F21" s="271"/>
      <c r="G21" s="271"/>
      <c r="H21" s="271"/>
      <c r="I21" s="272"/>
      <c r="J21" s="2"/>
      <c r="K21" s="16"/>
      <c r="L21" s="2"/>
      <c r="M21" s="17"/>
      <c r="N21" s="17"/>
      <c r="O21" s="17"/>
      <c r="P21" s="17"/>
      <c r="AC21" s="4"/>
      <c r="AG21" s="7"/>
      <c r="AH21" s="135"/>
      <c r="AI21" s="135"/>
      <c r="AJ21" s="135"/>
      <c r="AS21" s="8">
        <v>11</v>
      </c>
      <c r="AT21" s="109">
        <f>AT20+Gomos!$AT$7</f>
        <v>0.68288632391868431</v>
      </c>
      <c r="AU21" s="109">
        <f t="shared" si="1"/>
        <v>0.43626420734015936</v>
      </c>
      <c r="AV21" s="109">
        <f t="shared" si="0"/>
        <v>0.55758608099782381</v>
      </c>
      <c r="AW21" s="135"/>
      <c r="AX21" s="166" t="str">
        <f>" Raio maior da semielipse (a): "&amp;ROUND(I19,3)&amp;" m"</f>
        <v xml:space="preserve"> Raio maior da semielipse (a): 0,62 m</v>
      </c>
      <c r="AY21" s="166"/>
      <c r="AZ21" s="166"/>
      <c r="BA21" s="166"/>
      <c r="BB21" s="166"/>
    </row>
    <row r="22" spans="2:54" ht="15.95" customHeight="1" x14ac:dyDescent="0.25">
      <c r="B22" s="267"/>
      <c r="C22" s="259" t="s">
        <v>33</v>
      </c>
      <c r="D22" s="260"/>
      <c r="E22" s="260"/>
      <c r="F22" s="260"/>
      <c r="G22" s="261"/>
      <c r="H22" s="85" t="s">
        <v>34</v>
      </c>
      <c r="I22" s="85" t="s">
        <v>35</v>
      </c>
      <c r="J22" s="2"/>
      <c r="K22" s="16"/>
      <c r="L22" s="17"/>
      <c r="N22" s="17"/>
      <c r="O22" s="17"/>
      <c r="P22" s="17"/>
      <c r="AC22" s="4"/>
      <c r="AG22" s="7"/>
      <c r="AH22" s="135"/>
      <c r="AI22" s="135"/>
      <c r="AJ22" s="135"/>
      <c r="AS22" s="8">
        <v>12</v>
      </c>
      <c r="AT22" s="109">
        <f>AT21+Gomos!$AT$7</f>
        <v>0.68915133606472734</v>
      </c>
      <c r="AU22" s="109">
        <f t="shared" si="1"/>
        <v>0.43579175543898019</v>
      </c>
      <c r="AV22" s="109">
        <f t="shared" si="0"/>
        <v>0.55132106885178078</v>
      </c>
      <c r="AW22" s="135"/>
      <c r="AY22" s="6"/>
    </row>
    <row r="23" spans="2:54" ht="15.95" customHeight="1" x14ac:dyDescent="0.25">
      <c r="B23" s="267"/>
      <c r="C23" s="252" t="s">
        <v>157</v>
      </c>
      <c r="D23" s="253"/>
      <c r="E23" s="253"/>
      <c r="F23" s="253"/>
      <c r="G23" s="254"/>
      <c r="H23" s="40" t="s">
        <v>42</v>
      </c>
      <c r="I23" s="72">
        <f>Dimensionamento!T19/I13</f>
        <v>0.32475491618888042</v>
      </c>
      <c r="J23" s="2"/>
      <c r="K23" s="16"/>
      <c r="L23" s="17"/>
      <c r="N23" s="17"/>
      <c r="O23" s="17"/>
      <c r="P23" s="17"/>
      <c r="AG23" s="7"/>
      <c r="AH23" s="135"/>
      <c r="AI23" s="135"/>
      <c r="AJ23" s="135"/>
      <c r="AS23" s="8">
        <v>13</v>
      </c>
      <c r="AT23" s="109">
        <f>AT22+Gomos!$AT$7</f>
        <v>0.69541634821077036</v>
      </c>
      <c r="AU23" s="109">
        <f t="shared" si="1"/>
        <v>0.4352737197298524</v>
      </c>
      <c r="AV23" s="109">
        <f t="shared" si="0"/>
        <v>0.54505605670573776</v>
      </c>
      <c r="AW23" s="135"/>
      <c r="AY23" s="6"/>
    </row>
    <row r="24" spans="2:54" ht="15.95" customHeight="1" x14ac:dyDescent="0.25">
      <c r="B24" s="267"/>
      <c r="C24" s="252" t="s">
        <v>158</v>
      </c>
      <c r="D24" s="253"/>
      <c r="E24" s="253"/>
      <c r="F24" s="253"/>
      <c r="G24" s="254"/>
      <c r="H24" s="40" t="s">
        <v>42</v>
      </c>
      <c r="I24" s="72">
        <f>(0.6482*Dimensionamento!T18)</f>
        <v>0.80407421286688052</v>
      </c>
      <c r="J24" s="17"/>
      <c r="K24" s="16"/>
      <c r="L24" s="17"/>
      <c r="M24" s="17"/>
      <c r="N24" s="17"/>
      <c r="O24" s="17"/>
      <c r="P24" s="17"/>
      <c r="AG24" s="7"/>
      <c r="AH24" s="135"/>
      <c r="AI24" s="135"/>
      <c r="AJ24" s="135"/>
      <c r="AS24" s="8">
        <v>14</v>
      </c>
      <c r="AT24" s="109">
        <f>AT23+Gomos!$AT$7</f>
        <v>0.70168136035681339</v>
      </c>
      <c r="AU24" s="109">
        <f t="shared" si="1"/>
        <v>0.43470993724869023</v>
      </c>
      <c r="AV24" s="109">
        <f t="shared" si="0"/>
        <v>0.53879104455969473</v>
      </c>
      <c r="AW24" s="135"/>
      <c r="AY24" s="6"/>
    </row>
    <row r="25" spans="2:54" ht="15.95" customHeight="1" x14ac:dyDescent="0.25">
      <c r="B25" s="267"/>
      <c r="C25" s="252" t="s">
        <v>161</v>
      </c>
      <c r="D25" s="253"/>
      <c r="E25" s="253"/>
      <c r="F25" s="253"/>
      <c r="G25" s="254"/>
      <c r="H25" s="40" t="s">
        <v>38</v>
      </c>
      <c r="I25" s="73">
        <f>Dimensionamento!T20/I13</f>
        <v>0.16346244466136048</v>
      </c>
      <c r="J25" s="17"/>
      <c r="K25" s="16"/>
      <c r="L25" s="17"/>
      <c r="M25" s="17"/>
      <c r="N25" s="17"/>
      <c r="O25" s="17"/>
      <c r="P25" s="17"/>
      <c r="AG25" s="7"/>
      <c r="AH25" s="135"/>
      <c r="AI25" s="135"/>
      <c r="AJ25" s="135"/>
      <c r="AS25" s="8">
        <v>15</v>
      </c>
      <c r="AT25" s="109">
        <f>AT24+Gomos!$AT$7</f>
        <v>0.70794637250285641</v>
      </c>
      <c r="AU25" s="109">
        <f t="shared" si="1"/>
        <v>0.43410022975631113</v>
      </c>
      <c r="AV25" s="109">
        <f t="shared" si="0"/>
        <v>0.53252603241365171</v>
      </c>
      <c r="AW25" s="135"/>
      <c r="AY25" s="6"/>
    </row>
    <row r="26" spans="2:54" ht="15.95" customHeight="1" x14ac:dyDescent="0.25">
      <c r="J26" s="17"/>
      <c r="K26" s="16"/>
      <c r="L26" s="17"/>
      <c r="M26" s="17"/>
      <c r="N26" s="17"/>
      <c r="O26" s="17"/>
      <c r="P26" s="17"/>
      <c r="AG26" s="7"/>
      <c r="AH26" s="135"/>
      <c r="AI26" s="135"/>
      <c r="AJ26" s="135"/>
      <c r="AS26" s="8">
        <v>16</v>
      </c>
      <c r="AT26" s="109">
        <f>AT25+Gomos!$AT$7</f>
        <v>0.71421138464889944</v>
      </c>
      <c r="AU26" s="109">
        <f t="shared" si="1"/>
        <v>0.4334444034505785</v>
      </c>
      <c r="AV26" s="109">
        <f t="shared" si="0"/>
        <v>0.52626102026760868</v>
      </c>
      <c r="AW26" s="135"/>
      <c r="AY26" s="6"/>
    </row>
    <row r="27" spans="2:54" ht="15.95" customHeight="1" x14ac:dyDescent="0.25">
      <c r="B27" s="346" t="s">
        <v>85</v>
      </c>
      <c r="C27" s="270" t="s">
        <v>174</v>
      </c>
      <c r="D27" s="271"/>
      <c r="E27" s="271"/>
      <c r="F27" s="271"/>
      <c r="G27" s="271"/>
      <c r="H27" s="271"/>
      <c r="I27" s="272"/>
      <c r="J27" s="17"/>
      <c r="K27" s="16"/>
      <c r="L27" s="17"/>
      <c r="M27" s="17"/>
      <c r="N27" s="17"/>
      <c r="O27" s="17"/>
      <c r="P27" s="17"/>
      <c r="AG27" s="7"/>
      <c r="AH27" s="135"/>
      <c r="AI27" s="135"/>
      <c r="AJ27" s="135"/>
      <c r="AS27" s="8">
        <v>17</v>
      </c>
      <c r="AT27" s="109">
        <f>AT26+Gomos!$AT$7</f>
        <v>0.72047639679494246</v>
      </c>
      <c r="AU27" s="109">
        <f t="shared" si="1"/>
        <v>0.43274224865062283</v>
      </c>
      <c r="AV27" s="109">
        <f t="shared" si="0"/>
        <v>0.51999600812156566</v>
      </c>
      <c r="AW27" s="135"/>
      <c r="AY27" s="6"/>
    </row>
    <row r="28" spans="2:54" ht="15.95" customHeight="1" x14ac:dyDescent="0.25">
      <c r="B28" s="347"/>
      <c r="C28" s="259" t="s">
        <v>33</v>
      </c>
      <c r="D28" s="260"/>
      <c r="E28" s="260"/>
      <c r="F28" s="260"/>
      <c r="G28" s="261"/>
      <c r="H28" s="85" t="s">
        <v>34</v>
      </c>
      <c r="I28" s="85" t="s">
        <v>35</v>
      </c>
      <c r="J28" s="17"/>
      <c r="K28" s="16"/>
      <c r="L28" s="17"/>
      <c r="M28" s="17"/>
      <c r="N28" s="17"/>
      <c r="O28" s="17"/>
      <c r="P28" s="17"/>
      <c r="AG28" s="7"/>
      <c r="AH28" s="135"/>
      <c r="AI28" s="135"/>
      <c r="AJ28" s="135"/>
      <c r="AS28" s="8">
        <v>18</v>
      </c>
      <c r="AT28" s="109">
        <f>AT27+Gomos!$AT$7</f>
        <v>0.72674140894098549</v>
      </c>
      <c r="AU28" s="109">
        <f t="shared" si="1"/>
        <v>0.43199353945191227</v>
      </c>
      <c r="AV28" s="109">
        <f t="shared" si="0"/>
        <v>0.51373099597552263</v>
      </c>
      <c r="AW28" s="135"/>
      <c r="AY28" s="6"/>
    </row>
    <row r="29" spans="2:54" ht="15.95" customHeight="1" x14ac:dyDescent="0.25">
      <c r="B29" s="347"/>
      <c r="C29" s="328" t="s">
        <v>175</v>
      </c>
      <c r="D29" s="329"/>
      <c r="E29" s="329"/>
      <c r="F29" s="329"/>
      <c r="G29" s="330"/>
      <c r="H29" s="338" t="s">
        <v>114</v>
      </c>
      <c r="I29" s="340">
        <v>2</v>
      </c>
      <c r="J29" s="17"/>
      <c r="K29" s="27"/>
      <c r="L29" s="17"/>
      <c r="M29" s="17"/>
      <c r="N29" s="17"/>
      <c r="O29" s="17"/>
      <c r="P29" s="17"/>
      <c r="AG29" s="7"/>
      <c r="AH29" s="135"/>
      <c r="AI29" s="135"/>
      <c r="AJ29" s="135"/>
      <c r="AS29" s="8">
        <v>19</v>
      </c>
      <c r="AT29" s="109">
        <f>AT28+Gomos!$AT$7</f>
        <v>0.73300642108702851</v>
      </c>
      <c r="AU29" s="109">
        <f t="shared" si="1"/>
        <v>0.43119803335081219</v>
      </c>
      <c r="AV29" s="109">
        <f t="shared" si="0"/>
        <v>0.50746598382947961</v>
      </c>
      <c r="AW29" s="135"/>
      <c r="AY29" s="6"/>
    </row>
    <row r="30" spans="2:54" ht="15.95" customHeight="1" x14ac:dyDescent="0.25">
      <c r="B30" s="347"/>
      <c r="C30" s="331" t="s">
        <v>231</v>
      </c>
      <c r="D30" s="332"/>
      <c r="E30" s="332"/>
      <c r="F30" s="332"/>
      <c r="G30" s="333"/>
      <c r="H30" s="339"/>
      <c r="I30" s="341"/>
      <c r="K30" s="28"/>
      <c r="AG30" s="7"/>
      <c r="AH30" s="135"/>
      <c r="AI30" s="135"/>
      <c r="AJ30" s="135"/>
      <c r="AS30" s="8">
        <v>20</v>
      </c>
      <c r="AT30" s="109">
        <f>AT29+Gomos!$AT$7</f>
        <v>0.73927143323307154</v>
      </c>
      <c r="AU30" s="109">
        <f t="shared" si="1"/>
        <v>0.43035547083713166</v>
      </c>
      <c r="AV30" s="109">
        <f t="shared" si="0"/>
        <v>0.50120097168343658</v>
      </c>
      <c r="AW30" s="135"/>
      <c r="AY30" s="6"/>
    </row>
    <row r="31" spans="2:54" ht="15.95" customHeight="1" x14ac:dyDescent="0.25">
      <c r="B31" s="347"/>
      <c r="C31" s="252" t="s">
        <v>169</v>
      </c>
      <c r="D31" s="253"/>
      <c r="E31" s="253"/>
      <c r="F31" s="253"/>
      <c r="G31" s="254"/>
      <c r="H31" s="40" t="s">
        <v>42</v>
      </c>
      <c r="I31" s="30">
        <f>I23+(2*I29)</f>
        <v>4.3247549161888807</v>
      </c>
      <c r="K31" s="28"/>
      <c r="AG31" s="7"/>
      <c r="AH31" s="135"/>
      <c r="AI31" s="135"/>
      <c r="AJ31" s="135"/>
      <c r="AS31" s="8">
        <v>21</v>
      </c>
      <c r="AT31" s="109">
        <f>AT30+Gomos!$AT$7</f>
        <v>0.74553644537911457</v>
      </c>
      <c r="AU31" s="109">
        <f t="shared" si="1"/>
        <v>0.42946557495300397</v>
      </c>
      <c r="AV31" s="109">
        <f t="shared" si="0"/>
        <v>0.49493595953739355</v>
      </c>
      <c r="AW31" s="135"/>
      <c r="AY31" s="6"/>
    </row>
    <row r="32" spans="2:54" ht="15.95" customHeight="1" x14ac:dyDescent="0.25">
      <c r="B32" s="347"/>
      <c r="C32" s="252" t="s">
        <v>170</v>
      </c>
      <c r="D32" s="253"/>
      <c r="E32" s="253"/>
      <c r="F32" s="253"/>
      <c r="G32" s="254"/>
      <c r="H32" s="40" t="s">
        <v>42</v>
      </c>
      <c r="I32" s="73">
        <f>I24+I29</f>
        <v>2.8040742128668805</v>
      </c>
      <c r="K32" s="28"/>
      <c r="AG32" s="7"/>
      <c r="AH32" s="135"/>
      <c r="AI32" s="135"/>
      <c r="AJ32" s="135"/>
      <c r="AS32" s="8">
        <v>22</v>
      </c>
      <c r="AT32" s="109">
        <f>AT31+Gomos!$AT$7</f>
        <v>0.75180145752515759</v>
      </c>
      <c r="AU32" s="109">
        <f t="shared" si="1"/>
        <v>0.42852805081628331</v>
      </c>
      <c r="AV32" s="109">
        <f t="shared" si="0"/>
        <v>0.48867094739135053</v>
      </c>
      <c r="AW32" s="135"/>
      <c r="AY32" s="6"/>
    </row>
    <row r="33" spans="2:51" ht="15.95" customHeight="1" x14ac:dyDescent="0.25">
      <c r="B33" s="348"/>
      <c r="C33" s="252" t="s">
        <v>171</v>
      </c>
      <c r="D33" s="253"/>
      <c r="E33" s="253"/>
      <c r="F33" s="253"/>
      <c r="G33" s="254"/>
      <c r="H33" s="40" t="s">
        <v>42</v>
      </c>
      <c r="I33" s="73">
        <f>(I31*I25)/I23</f>
        <v>2.176826203149183</v>
      </c>
      <c r="K33" s="28"/>
      <c r="AG33" s="7"/>
      <c r="AH33" s="135"/>
      <c r="AI33" s="135"/>
      <c r="AJ33" s="135"/>
      <c r="AS33" s="8">
        <v>23</v>
      </c>
      <c r="AT33" s="109">
        <f>AT32+Gomos!$AT$7</f>
        <v>0.75806646967120062</v>
      </c>
      <c r="AU33" s="109">
        <f t="shared" si="1"/>
        <v>0.42754258510646137</v>
      </c>
      <c r="AV33" s="109">
        <f t="shared" si="0"/>
        <v>0.4824059352453075</v>
      </c>
      <c r="AW33" s="135"/>
      <c r="AY33" s="6"/>
    </row>
    <row r="34" spans="2:51" ht="15.95" customHeight="1" x14ac:dyDescent="0.25">
      <c r="AG34" s="7"/>
      <c r="AH34" s="135"/>
      <c r="AI34" s="135"/>
      <c r="AJ34" s="135"/>
      <c r="AS34" s="8">
        <v>24</v>
      </c>
      <c r="AT34" s="109">
        <f>AT33+Gomos!$AT$7</f>
        <v>0.76433148181724364</v>
      </c>
      <c r="AU34" s="109">
        <f t="shared" si="1"/>
        <v>0.4265088455109135</v>
      </c>
      <c r="AV34" s="109">
        <f t="shared" si="0"/>
        <v>0.47614092309926448</v>
      </c>
      <c r="AW34" s="135"/>
      <c r="AY34" s="6"/>
    </row>
    <row r="35" spans="2:51" ht="15.95" customHeight="1" x14ac:dyDescent="0.25">
      <c r="H35" s="98"/>
      <c r="I35" s="98"/>
      <c r="AG35" s="7"/>
      <c r="AH35" s="135"/>
      <c r="AI35" s="135"/>
      <c r="AJ35" s="135"/>
      <c r="AS35" s="8">
        <v>25</v>
      </c>
      <c r="AT35" s="109">
        <f>AT34+Gomos!$AT$7</f>
        <v>0.77059649396328667</v>
      </c>
      <c r="AU35" s="109">
        <f t="shared" si="1"/>
        <v>0.42542648012907308</v>
      </c>
      <c r="AV35" s="109">
        <f t="shared" si="0"/>
        <v>0.46987591095322145</v>
      </c>
      <c r="AW35" s="135"/>
      <c r="AY35" s="6"/>
    </row>
    <row r="36" spans="2:51" ht="15.95" customHeight="1" x14ac:dyDescent="0.25">
      <c r="H36" s="98"/>
      <c r="I36" s="98"/>
      <c r="AG36" s="7"/>
      <c r="AH36" s="135"/>
      <c r="AI36" s="135"/>
      <c r="AJ36" s="135"/>
      <c r="AS36" s="8">
        <v>26</v>
      </c>
      <c r="AT36" s="109">
        <f>AT35+Gomos!$AT$7</f>
        <v>0.77686150610932969</v>
      </c>
      <c r="AU36" s="109">
        <f t="shared" si="1"/>
        <v>0.4242951168319013</v>
      </c>
      <c r="AV36" s="109">
        <f t="shared" si="0"/>
        <v>0.46361089880717843</v>
      </c>
      <c r="AW36" s="135"/>
      <c r="AY36" s="6"/>
    </row>
    <row r="37" spans="2:51" ht="15.95" customHeight="1" x14ac:dyDescent="0.25">
      <c r="AG37" s="7"/>
      <c r="AH37" s="135"/>
      <c r="AI37" s="135"/>
      <c r="AJ37" s="135"/>
      <c r="AS37" s="8">
        <v>27</v>
      </c>
      <c r="AT37" s="109">
        <f>AT36+Gomos!$AT$7</f>
        <v>0.78312651825537272</v>
      </c>
      <c r="AU37" s="109">
        <f t="shared" si="1"/>
        <v>0.42311436257376667</v>
      </c>
      <c r="AV37" s="109">
        <f t="shared" si="0"/>
        <v>0.4573458866611354</v>
      </c>
      <c r="AW37" s="135"/>
      <c r="AY37" s="6"/>
    </row>
    <row r="38" spans="2:51" ht="15.95" customHeight="1" x14ac:dyDescent="0.25">
      <c r="AG38" s="7"/>
      <c r="AH38" s="135"/>
      <c r="AI38" s="135"/>
      <c r="AJ38" s="135"/>
      <c r="AS38" s="8">
        <v>28</v>
      </c>
      <c r="AT38" s="109">
        <f>AT37+Gomos!$AT$7</f>
        <v>0.78939153040141574</v>
      </c>
      <c r="AU38" s="109">
        <f t="shared" si="1"/>
        <v>0.42188380265357039</v>
      </c>
      <c r="AV38" s="109">
        <f t="shared" si="0"/>
        <v>0.45108087451509238</v>
      </c>
      <c r="AW38" s="135"/>
      <c r="AY38" s="6"/>
    </row>
    <row r="39" spans="2:51" ht="15.95" customHeight="1" x14ac:dyDescent="0.25">
      <c r="AG39" s="7"/>
      <c r="AH39" s="135"/>
      <c r="AI39" s="135"/>
      <c r="AJ39" s="135"/>
      <c r="AS39" s="8">
        <v>29</v>
      </c>
      <c r="AT39" s="109">
        <f>AT38+Gomos!$AT$7</f>
        <v>0.79565654254745877</v>
      </c>
      <c r="AU39" s="109">
        <f t="shared" si="1"/>
        <v>0.42060299992165112</v>
      </c>
      <c r="AV39" s="109">
        <f t="shared" si="0"/>
        <v>0.44481586236904935</v>
      </c>
      <c r="AW39" s="135"/>
      <c r="AY39" s="6"/>
    </row>
    <row r="40" spans="2:51" ht="15.95" customHeight="1" x14ac:dyDescent="0.25">
      <c r="AG40" s="7"/>
      <c r="AH40" s="135"/>
      <c r="AI40" s="135"/>
      <c r="AJ40" s="135"/>
      <c r="AS40" s="8">
        <v>30</v>
      </c>
      <c r="AT40" s="109">
        <f>AT39+Gomos!$AT$7</f>
        <v>0.80192155469350179</v>
      </c>
      <c r="AU40" s="109">
        <f t="shared" si="1"/>
        <v>0.41927149392866198</v>
      </c>
      <c r="AV40" s="109">
        <f t="shared" si="0"/>
        <v>0.43855085022300633</v>
      </c>
      <c r="AW40" s="135"/>
      <c r="AY40" s="6"/>
    </row>
    <row r="41" spans="2:51" ht="15.95" customHeight="1" x14ac:dyDescent="0.25">
      <c r="AG41" s="7"/>
      <c r="AH41" s="135"/>
      <c r="AI41" s="135"/>
      <c r="AJ41" s="135"/>
      <c r="AS41" s="8">
        <v>31</v>
      </c>
      <c r="AT41" s="109">
        <f>AT40+Gomos!$AT$7</f>
        <v>0.80818656683954482</v>
      </c>
      <c r="AU41" s="109">
        <f t="shared" si="1"/>
        <v>0.41788880001224665</v>
      </c>
      <c r="AV41" s="109">
        <f t="shared" si="0"/>
        <v>0.4322858380769633</v>
      </c>
      <c r="AW41" s="135"/>
      <c r="AY41" s="6"/>
    </row>
    <row r="42" spans="2:51" ht="15.95" customHeight="1" x14ac:dyDescent="0.25">
      <c r="AG42" s="7"/>
      <c r="AH42" s="135"/>
      <c r="AI42" s="135"/>
      <c r="AJ42" s="135"/>
      <c r="AS42" s="8">
        <v>32</v>
      </c>
      <c r="AT42" s="109">
        <f>AT41+Gomos!$AT$7</f>
        <v>0.81445157898558784</v>
      </c>
      <c r="AU42" s="109">
        <f t="shared" si="1"/>
        <v>0.41645440831692815</v>
      </c>
      <c r="AV42" s="109">
        <f t="shared" si="0"/>
        <v>0.42602082593092028</v>
      </c>
      <c r="AW42" s="135"/>
      <c r="AY42" s="6"/>
    </row>
    <row r="43" spans="2:51" ht="15.95" customHeight="1" x14ac:dyDescent="0.25">
      <c r="AG43" s="7"/>
      <c r="AH43" s="135"/>
      <c r="AI43" s="135"/>
      <c r="AJ43" s="135"/>
      <c r="AS43" s="8">
        <v>33</v>
      </c>
      <c r="AT43" s="109">
        <f>AT42+Gomos!$AT$7</f>
        <v>0.82071659113163087</v>
      </c>
      <c r="AU43" s="109">
        <f t="shared" si="1"/>
        <v>0.41496778274217122</v>
      </c>
      <c r="AV43" s="109">
        <f t="shared" si="0"/>
        <v>0.41975581378487725</v>
      </c>
      <c r="AW43" s="135"/>
      <c r="AY43" s="6"/>
    </row>
    <row r="44" spans="2:51" ht="15.95" customHeight="1" x14ac:dyDescent="0.25">
      <c r="AG44" s="7"/>
      <c r="AH44" s="135"/>
      <c r="AI44" s="135"/>
      <c r="AJ44" s="135"/>
      <c r="AS44" s="8">
        <v>34</v>
      </c>
      <c r="AT44" s="109">
        <f>AT43+Gomos!$AT$7</f>
        <v>0.82698160327767389</v>
      </c>
      <c r="AU44" s="109">
        <f t="shared" si="1"/>
        <v>0.41342835981307424</v>
      </c>
      <c r="AV44" s="109">
        <f t="shared" si="0"/>
        <v>0.41349080163883423</v>
      </c>
      <c r="AW44" s="135"/>
      <c r="AY44" s="6"/>
    </row>
    <row r="45" spans="2:51" ht="15.95" customHeight="1" x14ac:dyDescent="0.25">
      <c r="AG45" s="7"/>
      <c r="AH45" s="135"/>
      <c r="AI45" s="135"/>
      <c r="AJ45" s="135"/>
      <c r="AS45" s="8">
        <v>35</v>
      </c>
      <c r="AT45" s="109">
        <f>AT44+Gomos!$AT$7</f>
        <v>0.83324661542371692</v>
      </c>
      <c r="AU45" s="109">
        <f t="shared" si="1"/>
        <v>0.4118355474675876</v>
      </c>
      <c r="AV45" s="109">
        <f t="shared" si="0"/>
        <v>0.4072257894927912</v>
      </c>
      <c r="AW45" s="135"/>
      <c r="AY45" s="6"/>
    </row>
    <row r="46" spans="2:51" ht="15.95" customHeight="1" x14ac:dyDescent="0.25">
      <c r="AG46" s="7"/>
      <c r="AH46" s="135"/>
      <c r="AI46" s="135"/>
      <c r="AJ46" s="135"/>
      <c r="AS46" s="8">
        <v>36</v>
      </c>
      <c r="AT46" s="109">
        <f>AT45+Gomos!$AT$7</f>
        <v>0.83951162756975994</v>
      </c>
      <c r="AU46" s="109">
        <f t="shared" si="1"/>
        <v>0.41018872375353055</v>
      </c>
      <c r="AV46" s="109">
        <f t="shared" si="0"/>
        <v>0.40096077734674818</v>
      </c>
      <c r="AW46" s="135"/>
      <c r="AY46" s="6"/>
    </row>
    <row r="47" spans="2:51" x14ac:dyDescent="0.25">
      <c r="AG47" s="7"/>
      <c r="AH47" s="135"/>
      <c r="AI47" s="135"/>
      <c r="AJ47" s="135"/>
      <c r="AS47" s="8">
        <v>37</v>
      </c>
      <c r="AT47" s="109">
        <f>AT46+Gomos!$AT$7</f>
        <v>0.84577663971580297</v>
      </c>
      <c r="AU47" s="109">
        <f t="shared" si="1"/>
        <v>0.40848723542798338</v>
      </c>
      <c r="AV47" s="109">
        <f t="shared" si="0"/>
        <v>0.39469576520070515</v>
      </c>
      <c r="AW47" s="135"/>
      <c r="AY47" s="6"/>
    </row>
    <row r="48" spans="2:51" x14ac:dyDescent="0.25">
      <c r="AG48" s="7"/>
      <c r="AH48" s="135"/>
      <c r="AI48" s="135"/>
      <c r="AJ48" s="135"/>
      <c r="AS48" s="8">
        <v>38</v>
      </c>
      <c r="AT48" s="109">
        <f>AT47+Gomos!$AT$7</f>
        <v>0.85204165186184599</v>
      </c>
      <c r="AU48" s="109">
        <f t="shared" si="1"/>
        <v>0.40673039645085179</v>
      </c>
      <c r="AV48" s="109">
        <f t="shared" si="0"/>
        <v>0.38843075305466213</v>
      </c>
      <c r="AW48" s="135"/>
      <c r="AY48" s="6"/>
    </row>
    <row r="49" spans="33:51" x14ac:dyDescent="0.25">
      <c r="AG49" s="7"/>
      <c r="AH49" s="135"/>
      <c r="AI49" s="135"/>
      <c r="AJ49" s="135"/>
      <c r="AS49" s="8">
        <v>39</v>
      </c>
      <c r="AT49" s="109">
        <f>AT48+Gomos!$AT$7</f>
        <v>0.85830666400788902</v>
      </c>
      <c r="AU49" s="109">
        <f t="shared" si="1"/>
        <v>0.40491748636353214</v>
      </c>
      <c r="AV49" s="109">
        <f t="shared" si="0"/>
        <v>0.3821657409086191</v>
      </c>
      <c r="AW49" s="135"/>
      <c r="AY49" s="6"/>
    </row>
    <row r="50" spans="33:51" x14ac:dyDescent="0.25">
      <c r="AG50" s="7"/>
      <c r="AH50" s="135"/>
      <c r="AI50" s="135"/>
      <c r="AJ50" s="135"/>
      <c r="AS50" s="8">
        <v>40</v>
      </c>
      <c r="AT50" s="109">
        <f>AT49+Gomos!$AT$7</f>
        <v>0.86457167615393204</v>
      </c>
      <c r="AU50" s="109">
        <f t="shared" si="1"/>
        <v>0.40304774854262526</v>
      </c>
      <c r="AV50" s="109">
        <f t="shared" si="0"/>
        <v>0.37590072876257608</v>
      </c>
      <c r="AW50" s="135"/>
      <c r="AY50" s="6"/>
    </row>
    <row r="51" spans="33:51" x14ac:dyDescent="0.25">
      <c r="AG51" s="7"/>
      <c r="AH51" s="135"/>
      <c r="AI51" s="135"/>
      <c r="AJ51" s="135"/>
      <c r="AS51" s="8">
        <v>41</v>
      </c>
      <c r="AT51" s="109">
        <f>AT50+Gomos!$AT$7</f>
        <v>0.87083668829997507</v>
      </c>
      <c r="AU51" s="109">
        <f t="shared" si="1"/>
        <v>0.40112038831754881</v>
      </c>
      <c r="AV51" s="109">
        <f t="shared" si="0"/>
        <v>0.36963571661653305</v>
      </c>
      <c r="AW51" s="135"/>
      <c r="AY51" s="6"/>
    </row>
    <row r="52" spans="33:51" x14ac:dyDescent="0.25">
      <c r="AG52" s="7"/>
      <c r="AH52" s="135"/>
      <c r="AI52" s="135"/>
      <c r="AJ52" s="135"/>
      <c r="AS52" s="8">
        <v>42</v>
      </c>
      <c r="AT52" s="109">
        <f>AT51+Gomos!$AT$7</f>
        <v>0.8771017004460181</v>
      </c>
      <c r="AU52" s="109">
        <f t="shared" si="1"/>
        <v>0.39913457093966043</v>
      </c>
      <c r="AV52" s="109">
        <f t="shared" si="0"/>
        <v>0.36337070447049002</v>
      </c>
      <c r="AW52" s="135"/>
      <c r="AY52" s="6"/>
    </row>
    <row r="53" spans="33:51" x14ac:dyDescent="0.25">
      <c r="AG53" s="7"/>
      <c r="AH53" s="135"/>
      <c r="AI53" s="135"/>
      <c r="AJ53" s="135"/>
      <c r="AS53" s="8">
        <v>43</v>
      </c>
      <c r="AT53" s="109">
        <f>AT52+Gomos!$AT$7</f>
        <v>0.88336671259206112</v>
      </c>
      <c r="AU53" s="109">
        <f t="shared" si="1"/>
        <v>0.39708941938910486</v>
      </c>
      <c r="AV53" s="109">
        <f t="shared" si="0"/>
        <v>0.357105692324447</v>
      </c>
      <c r="AW53" s="135"/>
      <c r="AY53" s="6"/>
    </row>
    <row r="54" spans="33:51" x14ac:dyDescent="0.25">
      <c r="AG54" s="7"/>
      <c r="AH54" s="135"/>
      <c r="AI54" s="135"/>
      <c r="AJ54" s="135"/>
      <c r="AS54" s="8">
        <v>44</v>
      </c>
      <c r="AT54" s="109">
        <f>AT53+Gomos!$AT$7</f>
        <v>0.88963172473810415</v>
      </c>
      <c r="AU54" s="109">
        <f t="shared" si="1"/>
        <v>0.39498401200401745</v>
      </c>
      <c r="AV54" s="109">
        <f t="shared" si="0"/>
        <v>0.35084068017840397</v>
      </c>
      <c r="AW54" s="135"/>
      <c r="AY54" s="6"/>
    </row>
    <row r="55" spans="33:51" x14ac:dyDescent="0.25">
      <c r="AG55" s="7"/>
      <c r="AH55" s="135"/>
      <c r="AI55" s="135"/>
      <c r="AJ55" s="135"/>
      <c r="AS55" s="8">
        <v>45</v>
      </c>
      <c r="AT55" s="109">
        <f>AT54+Gomos!$AT$7</f>
        <v>0.89589673688414717</v>
      </c>
      <c r="AU55" s="109">
        <f t="shared" si="1"/>
        <v>0.39281737991492571</v>
      </c>
      <c r="AV55" s="109">
        <f t="shared" si="0"/>
        <v>0.34457566803236095</v>
      </c>
      <c r="AW55" s="135"/>
      <c r="AY55" s="6"/>
    </row>
    <row r="56" spans="33:51" x14ac:dyDescent="0.25">
      <c r="AG56" s="7"/>
      <c r="AH56" s="135"/>
      <c r="AI56" s="135"/>
      <c r="AJ56" s="135"/>
      <c r="AS56" s="8">
        <v>46</v>
      </c>
      <c r="AT56" s="109">
        <f>AT55+Gomos!$AT$7</f>
        <v>0.9021617490301902</v>
      </c>
      <c r="AU56" s="109">
        <f t="shared" si="1"/>
        <v>0.39058850426515135</v>
      </c>
      <c r="AV56" s="109">
        <f t="shared" si="0"/>
        <v>0.33831065588631792</v>
      </c>
      <c r="AW56" s="135"/>
      <c r="AY56" s="6"/>
    </row>
    <row r="57" spans="33:51" x14ac:dyDescent="0.25">
      <c r="AG57" s="7"/>
      <c r="AH57" s="135"/>
      <c r="AI57" s="135"/>
      <c r="AJ57" s="135"/>
      <c r="AS57" s="8">
        <v>47</v>
      </c>
      <c r="AT57" s="109">
        <f>AT56+Gomos!$AT$7</f>
        <v>0.90842676117623322</v>
      </c>
      <c r="AU57" s="109">
        <f t="shared" si="1"/>
        <v>0.3882963131956999</v>
      </c>
      <c r="AV57" s="109">
        <f t="shared" si="0"/>
        <v>0.3320456437402749</v>
      </c>
      <c r="AW57" s="135"/>
      <c r="AY57" s="6"/>
    </row>
    <row r="58" spans="33:51" x14ac:dyDescent="0.25">
      <c r="AG58" s="7"/>
      <c r="AH58" s="135"/>
      <c r="AI58" s="135"/>
      <c r="AJ58" s="135"/>
      <c r="AS58" s="8">
        <v>48</v>
      </c>
      <c r="AT58" s="109">
        <f>AT57+Gomos!$AT$7</f>
        <v>0.91469177332227625</v>
      </c>
      <c r="AU58" s="109">
        <f t="shared" si="1"/>
        <v>0.3859396785704754</v>
      </c>
      <c r="AV58" s="109">
        <f t="shared" si="0"/>
        <v>0.32578063159423187</v>
      </c>
      <c r="AW58" s="135"/>
      <c r="AY58" s="6"/>
    </row>
    <row r="59" spans="33:51" x14ac:dyDescent="0.25">
      <c r="AG59" s="7"/>
      <c r="AH59" s="135"/>
      <c r="AI59" s="135"/>
      <c r="AJ59" s="135"/>
      <c r="AS59" s="8">
        <v>49</v>
      </c>
      <c r="AT59" s="109">
        <f>AT58+Gomos!$AT$7</f>
        <v>0.92095678546831927</v>
      </c>
      <c r="AU59" s="109">
        <f t="shared" si="1"/>
        <v>0.38351741241463144</v>
      </c>
      <c r="AV59" s="109">
        <f t="shared" si="0"/>
        <v>0.31951561944818885</v>
      </c>
      <c r="AW59" s="135"/>
      <c r="AY59" s="6"/>
    </row>
    <row r="60" spans="33:51" x14ac:dyDescent="0.25">
      <c r="AG60" s="7"/>
      <c r="AH60" s="135"/>
      <c r="AI60" s="135"/>
      <c r="AJ60" s="135"/>
      <c r="AS60" s="8">
        <v>50</v>
      </c>
      <c r="AT60" s="109">
        <f>AT59+Gomos!$AT$7</f>
        <v>0.9272217976143623</v>
      </c>
      <c r="AU60" s="109">
        <f t="shared" si="1"/>
        <v>0.38102826303539605</v>
      </c>
      <c r="AV60" s="109">
        <f t="shared" si="0"/>
        <v>0.31325060730214582</v>
      </c>
      <c r="AW60" s="135"/>
      <c r="AY60" s="6"/>
    </row>
    <row r="61" spans="33:51" x14ac:dyDescent="0.25">
      <c r="AG61" s="7"/>
      <c r="AH61" s="135"/>
      <c r="AI61" s="135"/>
      <c r="AJ61" s="135"/>
      <c r="AS61" s="8">
        <v>51</v>
      </c>
      <c r="AT61" s="109">
        <f>AT60+Gomos!$AT$7</f>
        <v>0.93348680976040532</v>
      </c>
      <c r="AU61" s="109">
        <f t="shared" si="1"/>
        <v>0.37847091079071232</v>
      </c>
      <c r="AV61" s="109">
        <f t="shared" si="0"/>
        <v>0.3069855951561028</v>
      </c>
      <c r="AW61" s="135"/>
      <c r="AY61" s="6"/>
    </row>
    <row r="62" spans="33:51" x14ac:dyDescent="0.25">
      <c r="AG62" s="7"/>
      <c r="AH62" s="135"/>
      <c r="AI62" s="135"/>
      <c r="AJ62" s="135"/>
      <c r="AS62" s="8">
        <v>52</v>
      </c>
      <c r="AT62" s="109">
        <f>AT61+Gomos!$AT$7</f>
        <v>0.93975182190644835</v>
      </c>
      <c r="AU62" s="109">
        <f t="shared" si="1"/>
        <v>0.37584396346643034</v>
      </c>
      <c r="AV62" s="109">
        <f t="shared" si="0"/>
        <v>0.30072058301005977</v>
      </c>
      <c r="AW62" s="135"/>
      <c r="AY62" s="6"/>
    </row>
    <row r="63" spans="33:51" x14ac:dyDescent="0.25">
      <c r="AG63" s="7"/>
      <c r="AH63" s="135"/>
      <c r="AI63" s="135"/>
      <c r="AJ63" s="135"/>
      <c r="AS63" s="8">
        <v>53</v>
      </c>
      <c r="AT63" s="109">
        <f>AT62+Gomos!$AT$7</f>
        <v>0.94601683405249137</v>
      </c>
      <c r="AU63" s="109">
        <f t="shared" si="1"/>
        <v>0.37314595121746053</v>
      </c>
      <c r="AV63" s="109">
        <f t="shared" si="0"/>
        <v>0.29445557086401675</v>
      </c>
      <c r="AW63" s="135"/>
      <c r="AY63" s="6"/>
    </row>
    <row r="64" spans="33:51" x14ac:dyDescent="0.25">
      <c r="AG64" s="7"/>
      <c r="AH64" s="135"/>
      <c r="AI64" s="135"/>
      <c r="AJ64" s="135"/>
      <c r="AS64" s="8">
        <v>54</v>
      </c>
      <c r="AT64" s="109">
        <f>AT63+Gomos!$AT$7</f>
        <v>0.9522818461985344</v>
      </c>
      <c r="AU64" s="109">
        <f t="shared" si="1"/>
        <v>0.37037532102211579</v>
      </c>
      <c r="AV64" s="109">
        <f t="shared" si="0"/>
        <v>0.28819055871797372</v>
      </c>
      <c r="AW64" s="135"/>
      <c r="AY64" s="6"/>
    </row>
    <row r="65" spans="33:51" x14ac:dyDescent="0.25">
      <c r="AG65" s="7"/>
      <c r="AH65" s="135"/>
      <c r="AI65" s="135"/>
      <c r="AJ65" s="135"/>
      <c r="AS65" s="8">
        <v>55</v>
      </c>
      <c r="AT65" s="109">
        <f>AT64+Gomos!$AT$7</f>
        <v>0.95854685834457742</v>
      </c>
      <c r="AU65" s="109">
        <f t="shared" si="1"/>
        <v>0.36753043059168716</v>
      </c>
      <c r="AV65" s="109">
        <f t="shared" si="0"/>
        <v>0.2819255465719307</v>
      </c>
      <c r="AW65" s="135"/>
      <c r="AY65" s="6"/>
    </row>
    <row r="66" spans="33:51" x14ac:dyDescent="0.25">
      <c r="AG66" s="7"/>
      <c r="AH66" s="135"/>
      <c r="AI66" s="135"/>
      <c r="AJ66" s="135"/>
      <c r="AS66" s="8">
        <v>56</v>
      </c>
      <c r="AT66" s="109">
        <f>AT65+Gomos!$AT$7</f>
        <v>0.96481187049062045</v>
      </c>
      <c r="AU66" s="109">
        <f t="shared" si="1"/>
        <v>0.36460954166890713</v>
      </c>
      <c r="AV66" s="109">
        <f t="shared" si="0"/>
        <v>0.27566053442588767</v>
      </c>
      <c r="AW66" s="135"/>
      <c r="AY66" s="6"/>
    </row>
    <row r="67" spans="33:51" x14ac:dyDescent="0.25">
      <c r="AG67" s="7"/>
      <c r="AH67" s="135"/>
      <c r="AI67" s="135"/>
      <c r="AJ67" s="135"/>
      <c r="AS67" s="8">
        <v>57</v>
      </c>
      <c r="AT67" s="109">
        <f>AT66+Gomos!$AT$7</f>
        <v>0.97107688263666347</v>
      </c>
      <c r="AU67" s="109">
        <f t="shared" si="1"/>
        <v>0.36161081263913269</v>
      </c>
      <c r="AV67" s="109">
        <f t="shared" si="0"/>
        <v>0.26939552227984465</v>
      </c>
      <c r="AW67" s="135"/>
      <c r="AY67" s="6"/>
    </row>
    <row r="68" spans="33:51" x14ac:dyDescent="0.25">
      <c r="AG68" s="7"/>
      <c r="AH68" s="135"/>
      <c r="AI68" s="135"/>
      <c r="AJ68" s="135"/>
      <c r="AS68" s="8">
        <v>58</v>
      </c>
      <c r="AT68" s="109">
        <f>AT67+Gomos!$AT$7</f>
        <v>0.9773418947827065</v>
      </c>
      <c r="AU68" s="109">
        <f t="shared" si="1"/>
        <v>0.35853229036654582</v>
      </c>
      <c r="AV68" s="109">
        <f t="shared" si="0"/>
        <v>0.26313051013380162</v>
      </c>
      <c r="AW68" s="135"/>
      <c r="AY68" s="6"/>
    </row>
    <row r="69" spans="33:51" x14ac:dyDescent="0.25">
      <c r="AG69" s="7"/>
      <c r="AH69" s="135"/>
      <c r="AI69" s="135"/>
      <c r="AJ69" s="135"/>
      <c r="AS69" s="8">
        <v>59</v>
      </c>
      <c r="AT69" s="109">
        <f>AT68+Gomos!$AT$7</f>
        <v>0.98360690692874952</v>
      </c>
      <c r="AU69" s="109">
        <f t="shared" si="1"/>
        <v>0.35537190115406175</v>
      </c>
      <c r="AV69" s="109">
        <f t="shared" si="0"/>
        <v>0.2568654979877586</v>
      </c>
      <c r="AW69" s="135"/>
      <c r="AY69" s="6"/>
    </row>
    <row r="70" spans="33:51" x14ac:dyDescent="0.25">
      <c r="AG70" s="7"/>
      <c r="AH70" s="135"/>
      <c r="AI70" s="135"/>
      <c r="AJ70" s="135"/>
      <c r="AS70" s="8">
        <v>60</v>
      </c>
      <c r="AT70" s="109">
        <f>AT69+Gomos!$AT$7</f>
        <v>0.98987191907479255</v>
      </c>
      <c r="AU70" s="109">
        <f t="shared" si="1"/>
        <v>0.35212744070953506</v>
      </c>
      <c r="AV70" s="109">
        <f t="shared" si="0"/>
        <v>0.25060048584171557</v>
      </c>
      <c r="AW70" s="135"/>
      <c r="AY70" s="6"/>
    </row>
    <row r="71" spans="33:51" x14ac:dyDescent="0.25">
      <c r="AG71" s="7"/>
      <c r="AH71" s="135"/>
      <c r="AI71" s="135"/>
      <c r="AJ71" s="135"/>
      <c r="AS71" s="8">
        <v>61</v>
      </c>
      <c r="AT71" s="109">
        <f>AT70+Gomos!$AT$7</f>
        <v>0.99613693122083558</v>
      </c>
      <c r="AU71" s="109">
        <f t="shared" si="1"/>
        <v>0.34879656298172712</v>
      </c>
      <c r="AV71" s="109">
        <f t="shared" si="0"/>
        <v>0.24433547369567254</v>
      </c>
      <c r="AW71" s="135"/>
      <c r="AY71" s="6"/>
    </row>
    <row r="72" spans="33:51" x14ac:dyDescent="0.25">
      <c r="AG72" s="7"/>
      <c r="AH72" s="135"/>
      <c r="AI72" s="135"/>
      <c r="AJ72" s="135"/>
      <c r="AS72" s="8">
        <v>62</v>
      </c>
      <c r="AT72" s="109">
        <f>AT71+Gomos!$AT$7</f>
        <v>1.0024019433668785</v>
      </c>
      <c r="AU72" s="109">
        <f t="shared" si="1"/>
        <v>0.34537676770667214</v>
      </c>
      <c r="AV72" s="109">
        <f t="shared" si="0"/>
        <v>0.23807046154962963</v>
      </c>
      <c r="AW72" s="135"/>
      <c r="AY72" s="6"/>
    </row>
    <row r="73" spans="33:51" x14ac:dyDescent="0.25">
      <c r="AG73" s="7"/>
      <c r="AH73" s="135"/>
      <c r="AI73" s="135"/>
      <c r="AJ73" s="135"/>
      <c r="AS73" s="8">
        <v>63</v>
      </c>
      <c r="AT73" s="109">
        <f>AT72+Gomos!$AT$7</f>
        <v>1.0086669555129215</v>
      </c>
      <c r="AU73" s="109">
        <f t="shared" si="1"/>
        <v>0.34186538647774073</v>
      </c>
      <c r="AV73" s="109">
        <f t="shared" si="0"/>
        <v>0.23180544940358661</v>
      </c>
      <c r="AW73" s="135"/>
      <c r="AY73" s="6"/>
    </row>
    <row r="74" spans="33:51" x14ac:dyDescent="0.25">
      <c r="AG74" s="7"/>
      <c r="AH74" s="135"/>
      <c r="AI74" s="135"/>
      <c r="AJ74" s="135"/>
      <c r="AS74" s="8">
        <v>64</v>
      </c>
      <c r="AT74" s="109">
        <f>AT73+Gomos!$AT$7</f>
        <v>1.0149319676589645</v>
      </c>
      <c r="AU74" s="109">
        <f t="shared" si="1"/>
        <v>0.33825956711978644</v>
      </c>
      <c r="AV74" s="109">
        <f t="shared" si="0"/>
        <v>0.22554043725754358</v>
      </c>
      <c r="AW74" s="135"/>
      <c r="AY74" s="6"/>
    </row>
    <row r="75" spans="33:51" x14ac:dyDescent="0.25">
      <c r="AG75" s="7"/>
      <c r="AH75" s="135"/>
      <c r="AI75" s="135"/>
      <c r="AJ75" s="135"/>
      <c r="AS75" s="8">
        <v>65</v>
      </c>
      <c r="AT75" s="109">
        <f>AT74+Gomos!$AT$7</f>
        <v>1.0211969798050076</v>
      </c>
      <c r="AU75" s="109">
        <f t="shared" si="1"/>
        <v>0.3345562561079668</v>
      </c>
      <c r="AV75" s="109">
        <f t="shared" si="0"/>
        <v>0.21927542511150055</v>
      </c>
      <c r="AW75" s="135"/>
      <c r="AY75" s="6"/>
    </row>
    <row r="76" spans="33:51" x14ac:dyDescent="0.25">
      <c r="AG76" s="7"/>
      <c r="AH76" s="135"/>
      <c r="AI76" s="135"/>
      <c r="AJ76" s="135"/>
      <c r="AS76" s="8">
        <v>66</v>
      </c>
      <c r="AT76" s="109">
        <f>AT75+Gomos!$AT$7</f>
        <v>1.0274619919510506</v>
      </c>
      <c r="AU76" s="109">
        <f t="shared" si="1"/>
        <v>0.33075217872346274</v>
      </c>
      <c r="AV76" s="109">
        <f t="shared" ref="AV76:AV110" si="2">-AT76+2*$I$19</f>
        <v>0.21301041296545753</v>
      </c>
      <c r="AW76" s="135"/>
      <c r="AY76" s="6"/>
    </row>
    <row r="77" spans="33:51" x14ac:dyDescent="0.25">
      <c r="AG77" s="7"/>
      <c r="AH77" s="135"/>
      <c r="AI77" s="135"/>
      <c r="AJ77" s="135"/>
      <c r="AS77" s="8">
        <v>67</v>
      </c>
      <c r="AT77" s="109">
        <f>AT76+Gomos!$AT$7</f>
        <v>1.0337270040970936</v>
      </c>
      <c r="AU77" s="109">
        <f t="shared" ref="AU77:AU109" si="3">SQRT( (1-((AT77-$I$19)^2/($I$19^2)))*($I$18^2))</f>
        <v>0.32684381657923295</v>
      </c>
      <c r="AV77" s="109">
        <f t="shared" si="2"/>
        <v>0.2067454008194145</v>
      </c>
      <c r="AW77" s="135"/>
      <c r="AY77" s="6"/>
    </row>
    <row r="78" spans="33:51" x14ac:dyDescent="0.25">
      <c r="AG78" s="7"/>
      <c r="AH78" s="135"/>
      <c r="AI78" s="135"/>
      <c r="AJ78" s="135"/>
      <c r="AS78" s="8">
        <v>68</v>
      </c>
      <c r="AT78" s="109">
        <f>AT77+Gomos!$AT$7</f>
        <v>1.0399920162431366</v>
      </c>
      <c r="AU78" s="109">
        <f t="shared" si="3"/>
        <v>0.32282738207634271</v>
      </c>
      <c r="AV78" s="109">
        <f t="shared" si="2"/>
        <v>0.20048038867337148</v>
      </c>
      <c r="AW78" s="135"/>
      <c r="AY78" s="6"/>
    </row>
    <row r="79" spans="33:51" x14ac:dyDescent="0.25">
      <c r="AG79" s="7"/>
      <c r="AH79" s="135"/>
      <c r="AI79" s="135"/>
      <c r="AJ79" s="135"/>
      <c r="AS79" s="8">
        <v>69</v>
      </c>
      <c r="AT79" s="109">
        <f>AT78+Gomos!$AT$7</f>
        <v>1.0462570283891797</v>
      </c>
      <c r="AU79" s="109">
        <f t="shared" si="3"/>
        <v>0.31869878926170159</v>
      </c>
      <c r="AV79" s="109">
        <f t="shared" si="2"/>
        <v>0.19421537652732845</v>
      </c>
      <c r="AW79" s="135"/>
      <c r="AY79" s="6"/>
    </row>
    <row r="80" spans="33:51" x14ac:dyDescent="0.25">
      <c r="AG80" s="7"/>
      <c r="AH80" s="135"/>
      <c r="AI80" s="135"/>
      <c r="AJ80" s="135"/>
      <c r="AS80" s="8">
        <v>70</v>
      </c>
      <c r="AT80" s="109">
        <f>AT79+Gomos!$AT$7</f>
        <v>1.0525220405352227</v>
      </c>
      <c r="AU80" s="109">
        <f t="shared" si="3"/>
        <v>0.31445362044649422</v>
      </c>
      <c r="AV80" s="109">
        <f t="shared" si="2"/>
        <v>0.18795036438128543</v>
      </c>
      <c r="AW80" s="135"/>
      <c r="AY80" s="6"/>
    </row>
    <row r="81" spans="33:51" x14ac:dyDescent="0.25">
      <c r="AG81" s="7"/>
      <c r="AH81" s="135"/>
      <c r="AI81" s="135"/>
      <c r="AJ81" s="135"/>
      <c r="AS81" s="8">
        <v>71</v>
      </c>
      <c r="AT81" s="109">
        <f>AT80+Gomos!$AT$7</f>
        <v>1.0587870526812657</v>
      </c>
      <c r="AU81" s="109">
        <f t="shared" si="3"/>
        <v>0.31008708780496663</v>
      </c>
      <c r="AV81" s="109">
        <f t="shared" si="2"/>
        <v>0.1816853522352424</v>
      </c>
      <c r="AW81" s="135"/>
      <c r="AY81" s="6"/>
    </row>
    <row r="82" spans="33:51" x14ac:dyDescent="0.25">
      <c r="AG82" s="7"/>
      <c r="AH82" s="135"/>
      <c r="AI82" s="135"/>
      <c r="AJ82" s="135"/>
      <c r="AS82" s="8">
        <v>72</v>
      </c>
      <c r="AT82" s="109">
        <f>AT81+Gomos!$AT$7</f>
        <v>1.0650520648273087</v>
      </c>
      <c r="AU82" s="109">
        <f t="shared" si="3"/>
        <v>0.30559398899724144</v>
      </c>
      <c r="AV82" s="109">
        <f t="shared" si="2"/>
        <v>0.17542034008919938</v>
      </c>
      <c r="AW82" s="135"/>
      <c r="AY82" s="6"/>
    </row>
    <row r="83" spans="33:51" x14ac:dyDescent="0.25">
      <c r="AG83" s="7"/>
      <c r="AH83" s="135"/>
      <c r="AI83" s="135"/>
      <c r="AJ83" s="135"/>
      <c r="AS83" s="8">
        <v>73</v>
      </c>
      <c r="AT83" s="109">
        <f>AT82+Gomos!$AT$7</f>
        <v>1.0713170769733518</v>
      </c>
      <c r="AU83" s="109">
        <f t="shared" si="3"/>
        <v>0.30096865563634861</v>
      </c>
      <c r="AV83" s="109">
        <f t="shared" si="2"/>
        <v>0.16915532794315635</v>
      </c>
      <c r="AW83" s="135"/>
      <c r="AY83" s="6"/>
    </row>
    <row r="84" spans="33:51" x14ac:dyDescent="0.25">
      <c r="AG84" s="7"/>
      <c r="AH84" s="135"/>
      <c r="AI84" s="135"/>
      <c r="AJ84" s="135"/>
      <c r="AS84" s="8">
        <v>74</v>
      </c>
      <c r="AT84" s="109">
        <f>AT83+Gomos!$AT$7</f>
        <v>1.0775820891193948</v>
      </c>
      <c r="AU84" s="109">
        <f t="shared" si="3"/>
        <v>0.29620489313358711</v>
      </c>
      <c r="AV84" s="109">
        <f t="shared" si="2"/>
        <v>0.16289031579711333</v>
      </c>
      <c r="AW84" s="135"/>
      <c r="AY84" s="6"/>
    </row>
    <row r="85" spans="33:51" x14ac:dyDescent="0.25">
      <c r="AG85" s="7"/>
      <c r="AH85" s="135"/>
      <c r="AI85" s="135"/>
      <c r="AJ85" s="135"/>
      <c r="AS85" s="8">
        <v>75</v>
      </c>
      <c r="AT85" s="109">
        <f>AT84+Gomos!$AT$7</f>
        <v>1.0838471012654378</v>
      </c>
      <c r="AU85" s="109">
        <f t="shared" si="3"/>
        <v>0.29129591008703221</v>
      </c>
      <c r="AV85" s="109">
        <f t="shared" si="2"/>
        <v>0.1566253036510703</v>
      </c>
      <c r="AW85" s="135"/>
      <c r="AY85" s="6"/>
    </row>
    <row r="86" spans="33:51" x14ac:dyDescent="0.25">
      <c r="AG86" s="7"/>
      <c r="AH86" s="135"/>
      <c r="AI86" s="135"/>
      <c r="AJ86" s="135"/>
      <c r="AS86" s="8">
        <v>76</v>
      </c>
      <c r="AT86" s="109">
        <f>AT85+Gomos!$AT$7</f>
        <v>1.0901121134114808</v>
      </c>
      <c r="AU86" s="109">
        <f t="shared" si="3"/>
        <v>0.28623423489689137</v>
      </c>
      <c r="AV86" s="109">
        <f t="shared" si="2"/>
        <v>0.15036029150502728</v>
      </c>
      <c r="AW86" s="135"/>
      <c r="AY86" s="6"/>
    </row>
    <row r="87" spans="33:51" x14ac:dyDescent="0.25">
      <c r="AG87" s="7"/>
      <c r="AH87" s="135"/>
      <c r="AI87" s="135"/>
      <c r="AJ87" s="135"/>
      <c r="AS87" s="8">
        <v>77</v>
      </c>
      <c r="AT87" s="109">
        <f>AT86+Gomos!$AT$7</f>
        <v>1.0963771255575239</v>
      </c>
      <c r="AU87" s="109">
        <f t="shared" si="3"/>
        <v>0.28101161665847391</v>
      </c>
      <c r="AV87" s="109">
        <f t="shared" si="2"/>
        <v>0.14409527935898425</v>
      </c>
      <c r="AW87" s="135"/>
      <c r="AY87" s="6"/>
    </row>
    <row r="88" spans="33:51" x14ac:dyDescent="0.25">
      <c r="AG88" s="7"/>
      <c r="AH88" s="135"/>
      <c r="AI88" s="135"/>
      <c r="AJ88" s="135"/>
      <c r="AS88" s="8">
        <v>78</v>
      </c>
      <c r="AT88" s="109">
        <f>AT87+Gomos!$AT$7</f>
        <v>1.1026421377035669</v>
      </c>
      <c r="AU88" s="109">
        <f t="shared" si="3"/>
        <v>0.27561890654204618</v>
      </c>
      <c r="AV88" s="109">
        <f t="shared" si="2"/>
        <v>0.13783026721294123</v>
      </c>
      <c r="AW88" s="135"/>
      <c r="AY88" s="6"/>
    </row>
    <row r="89" spans="33:51" x14ac:dyDescent="0.25">
      <c r="AG89" s="7"/>
      <c r="AH89" s="135"/>
      <c r="AI89" s="135"/>
      <c r="AJ89" s="135"/>
      <c r="AS89" s="8">
        <v>79</v>
      </c>
      <c r="AT89" s="109">
        <f>AT88+Gomos!$AT$7</f>
        <v>1.1089071498496099</v>
      </c>
      <c r="AU89" s="109">
        <f t="shared" si="3"/>
        <v>0.2700459147372557</v>
      </c>
      <c r="AV89" s="109">
        <f t="shared" si="2"/>
        <v>0.1315652550668982</v>
      </c>
      <c r="AW89" s="135"/>
      <c r="AY89" s="6"/>
    </row>
    <row r="90" spans="33:51" x14ac:dyDescent="0.25">
      <c r="AG90" s="7"/>
      <c r="AH90" s="135"/>
      <c r="AI90" s="135"/>
      <c r="AJ90" s="135"/>
      <c r="AS90" s="8">
        <v>80</v>
      </c>
      <c r="AT90" s="109">
        <f>AT89+Gomos!$AT$7</f>
        <v>1.1151721619956529</v>
      </c>
      <c r="AU90" s="109">
        <f t="shared" si="3"/>
        <v>0.26428123649921303</v>
      </c>
      <c r="AV90" s="109">
        <f t="shared" si="2"/>
        <v>0.12530024292085518</v>
      </c>
      <c r="AW90" s="135"/>
      <c r="AY90" s="6"/>
    </row>
    <row r="91" spans="33:51" x14ac:dyDescent="0.25">
      <c r="AG91" s="7"/>
      <c r="AH91" s="135"/>
      <c r="AI91" s="135"/>
      <c r="AJ91" s="135"/>
      <c r="AS91" s="8">
        <v>81</v>
      </c>
      <c r="AT91" s="109">
        <f>AT90+Gomos!$AT$7</f>
        <v>1.121437174141696</v>
      </c>
      <c r="AU91" s="109">
        <f t="shared" si="3"/>
        <v>0.25831203870754582</v>
      </c>
      <c r="AV91" s="109">
        <f t="shared" si="2"/>
        <v>0.11903523077481215</v>
      </c>
      <c r="AW91" s="135"/>
    </row>
    <row r="92" spans="33:51" x14ac:dyDescent="0.25">
      <c r="AG92" s="7"/>
      <c r="AH92" s="135"/>
      <c r="AI92" s="135"/>
      <c r="AJ92" s="135"/>
      <c r="AS92" s="8">
        <v>82</v>
      </c>
      <c r="AT92" s="109">
        <f>AT91+Gomos!$AT$7</f>
        <v>1.127702186287739</v>
      </c>
      <c r="AU92" s="109">
        <f t="shared" si="3"/>
        <v>0.25212379537316221</v>
      </c>
      <c r="AV92" s="109">
        <f t="shared" si="2"/>
        <v>0.11277021862876913</v>
      </c>
      <c r="AW92" s="135"/>
    </row>
    <row r="93" spans="33:51" x14ac:dyDescent="0.25">
      <c r="AG93" s="7"/>
      <c r="AH93" s="135"/>
      <c r="AI93" s="135"/>
      <c r="AJ93" s="135"/>
      <c r="AS93" s="8">
        <v>83</v>
      </c>
      <c r="AT93" s="109">
        <f>AT92+Gomos!$AT$7</f>
        <v>1.133967198433782</v>
      </c>
      <c r="AU93" s="109">
        <f t="shared" si="3"/>
        <v>0.2456999562920423</v>
      </c>
      <c r="AV93" s="109">
        <f t="shared" si="2"/>
        <v>0.1065052064827261</v>
      </c>
      <c r="AW93" s="135"/>
    </row>
    <row r="94" spans="33:51" x14ac:dyDescent="0.25">
      <c r="AG94" s="7"/>
      <c r="AH94" s="135"/>
      <c r="AI94" s="135"/>
      <c r="AJ94" s="135"/>
      <c r="AS94" s="8">
        <v>84</v>
      </c>
      <c r="AT94" s="109">
        <f>AT93+Gomos!$AT$7</f>
        <v>1.140232210579825</v>
      </c>
      <c r="AU94" s="109">
        <f t="shared" si="3"/>
        <v>0.23902152691102677</v>
      </c>
      <c r="AV94" s="109">
        <f t="shared" si="2"/>
        <v>0.10024019433668307</v>
      </c>
      <c r="AW94" s="135"/>
    </row>
    <row r="95" spans="33:51" x14ac:dyDescent="0.25">
      <c r="AG95" s="7"/>
      <c r="AH95" s="135"/>
      <c r="AI95" s="135"/>
      <c r="AJ95" s="135"/>
      <c r="AS95" s="8">
        <v>85</v>
      </c>
      <c r="AT95" s="109">
        <f>AT94+Gomos!$AT$7</f>
        <v>1.1464972227258681</v>
      </c>
      <c r="AU95" s="109">
        <f t="shared" si="3"/>
        <v>0.23206652841000086</v>
      </c>
      <c r="AV95" s="109">
        <f t="shared" si="2"/>
        <v>9.397518219064005E-2</v>
      </c>
      <c r="AW95" s="135"/>
    </row>
    <row r="96" spans="33:51" x14ac:dyDescent="0.25">
      <c r="AG96" s="7"/>
      <c r="AH96" s="135"/>
      <c r="AI96" s="135"/>
      <c r="AJ96" s="135"/>
      <c r="AS96" s="8">
        <v>86</v>
      </c>
      <c r="AT96" s="109">
        <f>AT95+Gomos!$AT$7</f>
        <v>1.1527622348719111</v>
      </c>
      <c r="AU96" s="109">
        <f t="shared" si="3"/>
        <v>0.22480929332677646</v>
      </c>
      <c r="AV96" s="109">
        <f t="shared" si="2"/>
        <v>8.7710170044597024E-2</v>
      </c>
      <c r="AW96" s="135"/>
    </row>
    <row r="97" spans="33:49" x14ac:dyDescent="0.25">
      <c r="AG97" s="7"/>
      <c r="AH97" s="135"/>
      <c r="AI97" s="135"/>
      <c r="AJ97" s="135"/>
      <c r="AS97" s="8">
        <v>87</v>
      </c>
      <c r="AT97" s="109">
        <f>AT96+Gomos!$AT$7</f>
        <v>1.1590272470179541</v>
      </c>
      <c r="AU97" s="109">
        <f t="shared" si="3"/>
        <v>0.21721953089057938</v>
      </c>
      <c r="AV97" s="109">
        <f t="shared" si="2"/>
        <v>8.1445157898553999E-2</v>
      </c>
      <c r="AW97" s="135"/>
    </row>
    <row r="98" spans="33:49" x14ac:dyDescent="0.25">
      <c r="AG98" s="7"/>
      <c r="AH98" s="135"/>
      <c r="AI98" s="135"/>
      <c r="AJ98" s="135"/>
      <c r="AS98" s="8">
        <v>88</v>
      </c>
      <c r="AT98" s="109">
        <f>AT97+Gomos!$AT$7</f>
        <v>1.1652922591639971</v>
      </c>
      <c r="AU98" s="109">
        <f t="shared" si="3"/>
        <v>0.20926106257731253</v>
      </c>
      <c r="AV98" s="109">
        <f t="shared" si="2"/>
        <v>7.5180145752510974E-2</v>
      </c>
      <c r="AW98" s="135"/>
    </row>
    <row r="99" spans="33:49" x14ac:dyDescent="0.25">
      <c r="AG99" s="7"/>
      <c r="AH99" s="135"/>
      <c r="AI99" s="135"/>
      <c r="AJ99" s="135"/>
      <c r="AS99" s="8">
        <v>89</v>
      </c>
      <c r="AT99" s="109">
        <f>AT98+Gomos!$AT$7</f>
        <v>1.1715572713100402</v>
      </c>
      <c r="AU99" s="109">
        <f t="shared" si="3"/>
        <v>0.20089007316956298</v>
      </c>
      <c r="AV99" s="109">
        <f t="shared" si="2"/>
        <v>6.8915133606467949E-2</v>
      </c>
      <c r="AW99" s="135"/>
    </row>
    <row r="100" spans="33:49" x14ac:dyDescent="0.25">
      <c r="AG100" s="7"/>
      <c r="AH100" s="135"/>
      <c r="AI100" s="135"/>
      <c r="AJ100" s="135"/>
      <c r="AS100" s="8">
        <v>90</v>
      </c>
      <c r="AT100" s="109">
        <f>AT99+Gomos!$AT$7</f>
        <v>1.1778222834560832</v>
      </c>
      <c r="AU100" s="109">
        <f t="shared" si="3"/>
        <v>0.19205262862450651</v>
      </c>
      <c r="AV100" s="109">
        <f t="shared" si="2"/>
        <v>6.2650121460424923E-2</v>
      </c>
      <c r="AW100" s="135"/>
    </row>
    <row r="101" spans="33:49" x14ac:dyDescent="0.25">
      <c r="AG101" s="7"/>
      <c r="AH101" s="135"/>
      <c r="AI101" s="135"/>
      <c r="AJ101" s="135"/>
      <c r="AS101" s="8">
        <v>91</v>
      </c>
      <c r="AT101" s="109">
        <f>AT100+Gomos!$AT$7</f>
        <v>1.1840872956021262</v>
      </c>
      <c r="AU101" s="109">
        <f t="shared" si="3"/>
        <v>0.18268104527157905</v>
      </c>
      <c r="AV101" s="109">
        <f t="shared" si="2"/>
        <v>5.6385109314381898E-2</v>
      </c>
      <c r="AW101" s="135"/>
    </row>
    <row r="102" spans="33:49" x14ac:dyDescent="0.25">
      <c r="AG102" s="7"/>
      <c r="AH102" s="135"/>
      <c r="AI102" s="135"/>
      <c r="AJ102" s="135"/>
      <c r="AS102" s="8">
        <v>92</v>
      </c>
      <c r="AT102" s="109">
        <f>AT101+Gomos!$AT$7</f>
        <v>1.1903523077481692</v>
      </c>
      <c r="AU102" s="109">
        <f t="shared" si="3"/>
        <v>0.17268838385332894</v>
      </c>
      <c r="AV102" s="109">
        <f t="shared" si="2"/>
        <v>5.0120097168338873E-2</v>
      </c>
      <c r="AW102" s="135"/>
    </row>
    <row r="103" spans="33:49" x14ac:dyDescent="0.25">
      <c r="AG103" s="7"/>
      <c r="AH103" s="135"/>
      <c r="AI103" s="135"/>
      <c r="AJ103" s="135"/>
      <c r="AS103" s="8">
        <v>93</v>
      </c>
      <c r="AT103" s="109">
        <f>AT102+Gomos!$AT$7</f>
        <v>1.1966173198942123</v>
      </c>
      <c r="AU103" s="109">
        <f t="shared" si="3"/>
        <v>0.16195972650834062</v>
      </c>
      <c r="AV103" s="109">
        <f t="shared" si="2"/>
        <v>4.3855085022295848E-2</v>
      </c>
      <c r="AW103" s="135"/>
    </row>
    <row r="104" spans="33:49" x14ac:dyDescent="0.25">
      <c r="AG104" s="7"/>
      <c r="AH104" s="135"/>
      <c r="AI104" s="135"/>
      <c r="AJ104" s="135"/>
      <c r="AS104" s="8">
        <v>94</v>
      </c>
      <c r="AT104" s="109">
        <f>AT103+Gomos!$AT$7</f>
        <v>1.2028823320402553</v>
      </c>
      <c r="AU104" s="109">
        <f t="shared" si="3"/>
        <v>0.15033758538656292</v>
      </c>
      <c r="AV104" s="109">
        <f t="shared" si="2"/>
        <v>3.7590072876252822E-2</v>
      </c>
      <c r="AW104" s="135"/>
    </row>
    <row r="105" spans="33:49" x14ac:dyDescent="0.25">
      <c r="AG105" s="7"/>
      <c r="AH105" s="135"/>
      <c r="AI105" s="135"/>
      <c r="AJ105" s="135"/>
      <c r="AS105" s="8">
        <v>95</v>
      </c>
      <c r="AT105" s="109">
        <f>AT104+Gomos!$AT$7</f>
        <v>1.2091473441862983</v>
      </c>
      <c r="AU105" s="109">
        <f t="shared" si="3"/>
        <v>0.13759573985226287</v>
      </c>
      <c r="AV105" s="109">
        <f t="shared" si="2"/>
        <v>3.1325060730209797E-2</v>
      </c>
      <c r="AW105" s="135"/>
    </row>
    <row r="106" spans="33:49" x14ac:dyDescent="0.25">
      <c r="AG106" s="7"/>
      <c r="AH106" s="135"/>
      <c r="AI106" s="135"/>
      <c r="AJ106" s="135"/>
      <c r="AS106" s="8">
        <v>96</v>
      </c>
      <c r="AT106" s="109">
        <f>AT105+Gomos!$AT$7</f>
        <v>1.2154123563323413</v>
      </c>
      <c r="AU106" s="109">
        <f t="shared" si="3"/>
        <v>0.12338779172813223</v>
      </c>
      <c r="AV106" s="109">
        <f t="shared" si="2"/>
        <v>2.5060048584166772E-2</v>
      </c>
      <c r="AW106" s="135"/>
    </row>
    <row r="107" spans="33:49" x14ac:dyDescent="0.25">
      <c r="AG107" s="7"/>
      <c r="AH107" s="135"/>
      <c r="AI107" s="135"/>
      <c r="AJ107" s="135"/>
      <c r="AS107" s="8">
        <v>97</v>
      </c>
      <c r="AT107" s="109">
        <f>AT106+Gomos!$AT$7</f>
        <v>1.2216773684783844</v>
      </c>
      <c r="AU107" s="109">
        <f t="shared" si="3"/>
        <v>0.10713201270405642</v>
      </c>
      <c r="AV107" s="109">
        <f t="shared" si="2"/>
        <v>1.8795036438123747E-2</v>
      </c>
      <c r="AW107" s="135"/>
    </row>
    <row r="108" spans="33:49" x14ac:dyDescent="0.25">
      <c r="AG108" s="7"/>
      <c r="AH108" s="135"/>
      <c r="AI108" s="135"/>
      <c r="AJ108" s="135"/>
      <c r="AS108" s="8">
        <v>98</v>
      </c>
      <c r="AT108" s="109">
        <f>AT107+Gomos!$AT$7</f>
        <v>1.2279423806244274</v>
      </c>
      <c r="AU108" s="109">
        <f t="shared" si="3"/>
        <v>8.7696924808815926E-2</v>
      </c>
      <c r="AV108" s="109">
        <f t="shared" si="2"/>
        <v>1.2530024292080721E-2</v>
      </c>
      <c r="AW108" s="135"/>
    </row>
    <row r="109" spans="33:49" x14ac:dyDescent="0.25">
      <c r="AG109" s="7"/>
      <c r="AH109" s="135"/>
      <c r="AI109" s="135"/>
      <c r="AJ109" s="135"/>
      <c r="AS109" s="8">
        <v>99</v>
      </c>
      <c r="AT109" s="109">
        <f>AT108+Gomos!$AT$7</f>
        <v>1.2342073927704704</v>
      </c>
      <c r="AU109" s="109">
        <f t="shared" si="3"/>
        <v>6.2169080516346682E-2</v>
      </c>
      <c r="AV109" s="109">
        <f t="shared" si="2"/>
        <v>6.2650121460376962E-3</v>
      </c>
    </row>
    <row r="110" spans="33:49" x14ac:dyDescent="0.25">
      <c r="AG110" s="7"/>
      <c r="AH110" s="135"/>
      <c r="AI110" s="135"/>
      <c r="AJ110" s="135"/>
      <c r="AS110" s="8">
        <v>100</v>
      </c>
      <c r="AT110" s="109">
        <f>AT109+Gomos!$AT$7</f>
        <v>1.2404724049165134</v>
      </c>
      <c r="AU110" s="109">
        <v>0</v>
      </c>
      <c r="AV110" s="109">
        <f t="shared" si="2"/>
        <v>-5.3290705182007514E-15</v>
      </c>
    </row>
  </sheetData>
  <sheetProtection algorithmName="SHA-512" hashValue="fCpIAFOwcjwwU0VkeLyfZhfxmImjZOT9i18589Md0sl8RhuM5EDKGiJhFZf5JjfpUgosjO/74PdieO/XKH1ifA==" saltValue="i7A0vwBhraxMZp1iS1VwGQ==" spinCount="100000" sheet="1" objects="1" scenarios="1" selectLockedCells="1"/>
  <mergeCells count="41">
    <mergeCell ref="AG9:AJ9"/>
    <mergeCell ref="AS9:AV9"/>
    <mergeCell ref="AX6:AZ6"/>
    <mergeCell ref="AX13:AZ13"/>
    <mergeCell ref="AO6:AQ6"/>
    <mergeCell ref="AS6:AV6"/>
    <mergeCell ref="AT7:AV7"/>
    <mergeCell ref="AO13:AQ13"/>
    <mergeCell ref="H29:H30"/>
    <mergeCell ref="I29:I30"/>
    <mergeCell ref="B11:B14"/>
    <mergeCell ref="C11:I11"/>
    <mergeCell ref="I13:I14"/>
    <mergeCell ref="H13:H14"/>
    <mergeCell ref="B27:B33"/>
    <mergeCell ref="C27:I27"/>
    <mergeCell ref="B16:B19"/>
    <mergeCell ref="C16:I16"/>
    <mergeCell ref="C21:I21"/>
    <mergeCell ref="B21:B25"/>
    <mergeCell ref="C12:G12"/>
    <mergeCell ref="C17:G17"/>
    <mergeCell ref="C22:G22"/>
    <mergeCell ref="C13:G13"/>
    <mergeCell ref="C14:G14"/>
    <mergeCell ref="C19:G19"/>
    <mergeCell ref="C18:G18"/>
    <mergeCell ref="C23:G23"/>
    <mergeCell ref="B3:T3"/>
    <mergeCell ref="B9:I9"/>
    <mergeCell ref="M9:T9"/>
    <mergeCell ref="R4:T6"/>
    <mergeCell ref="B4:Q6"/>
    <mergeCell ref="C33:G33"/>
    <mergeCell ref="C32:G32"/>
    <mergeCell ref="C24:G24"/>
    <mergeCell ref="C25:G25"/>
    <mergeCell ref="C29:G29"/>
    <mergeCell ref="C30:G30"/>
    <mergeCell ref="C31:G31"/>
    <mergeCell ref="C28:G28"/>
  </mergeCells>
  <phoneticPr fontId="28" type="noConversion"/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4"/>
  <dimension ref="AP1:CA127"/>
  <sheetViews>
    <sheetView showGridLines="0" showRowColHeaders="0" zoomScaleNormal="100" workbookViewId="0">
      <selection activeCell="M2" sqref="M2"/>
    </sheetView>
  </sheetViews>
  <sheetFormatPr defaultRowHeight="15" x14ac:dyDescent="0.25"/>
  <cols>
    <col min="1" max="1" width="2.7109375" customWidth="1"/>
    <col min="10" max="41" width="9.140625" customWidth="1"/>
    <col min="42" max="42" width="9.140625" style="133"/>
    <col min="43" max="44" width="9.140625" customWidth="1"/>
    <col min="45" max="45" width="3.7109375" customWidth="1"/>
    <col min="46" max="46" width="9.140625" style="133"/>
    <col min="49" max="49" width="3.7109375" customWidth="1"/>
    <col min="50" max="54" width="9.140625" customWidth="1"/>
    <col min="57" max="58" width="9.140625" customWidth="1"/>
    <col min="61" max="62" width="9.140625" customWidth="1"/>
    <col min="65" max="65" width="9.140625" customWidth="1"/>
    <col min="69" max="69" width="9.140625" customWidth="1"/>
    <col min="73" max="73" width="7.5703125" customWidth="1"/>
  </cols>
  <sheetData>
    <row r="1" spans="42:79" ht="15.95" customHeight="1" x14ac:dyDescent="0.25"/>
    <row r="2" spans="42:79" ht="15.95" customHeight="1" x14ac:dyDescent="0.25">
      <c r="AP2" s="132"/>
      <c r="AQ2" s="123"/>
      <c r="AR2" s="123"/>
      <c r="AS2" s="123"/>
      <c r="AT2" s="132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</row>
    <row r="3" spans="42:79" ht="15.95" customHeight="1" x14ac:dyDescent="0.25">
      <c r="AP3" s="248" t="s">
        <v>98</v>
      </c>
      <c r="AQ3" s="248"/>
      <c r="AR3" s="248"/>
      <c r="AT3" s="248" t="s">
        <v>97</v>
      </c>
      <c r="AU3" s="248"/>
      <c r="AV3" s="248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6"/>
      <c r="BU3" s="126"/>
      <c r="BV3" s="126"/>
      <c r="BW3" s="126"/>
      <c r="BX3" s="127"/>
    </row>
    <row r="4" spans="42:79" ht="15.95" customHeight="1" x14ac:dyDescent="0.25">
      <c r="BT4" s="127"/>
      <c r="BU4" s="127"/>
      <c r="BV4" s="127"/>
      <c r="BW4" s="127"/>
      <c r="BX4" s="127"/>
    </row>
    <row r="5" spans="42:79" ht="15.95" customHeight="1" x14ac:dyDescent="0.25">
      <c r="AP5" s="131" t="s">
        <v>86</v>
      </c>
      <c r="AQ5" s="359">
        <f>Escalas!Q12</f>
        <v>16.237745809444021</v>
      </c>
      <c r="AR5" s="359"/>
      <c r="AS5" s="17"/>
      <c r="AT5" s="131" t="s">
        <v>101</v>
      </c>
      <c r="AU5" s="363">
        <f>Escalas!T12</f>
        <v>0</v>
      </c>
      <c r="AV5" s="364"/>
      <c r="BT5" s="127"/>
      <c r="BU5" s="127"/>
      <c r="BV5" s="367"/>
      <c r="BW5" s="367"/>
      <c r="BX5" s="127"/>
      <c r="BY5" s="366"/>
      <c r="BZ5" s="366"/>
      <c r="CA5" s="366"/>
    </row>
    <row r="6" spans="42:79" ht="15.95" customHeight="1" x14ac:dyDescent="0.25">
      <c r="AP6" s="114" t="s">
        <v>117</v>
      </c>
      <c r="AQ6" s="358">
        <f>AQ5/2</f>
        <v>8.1188729047220107</v>
      </c>
      <c r="AR6" s="358"/>
      <c r="AS6" s="17"/>
      <c r="AT6" s="114" t="s">
        <v>125</v>
      </c>
      <c r="AU6" s="361">
        <f>AU5/2</f>
        <v>0</v>
      </c>
      <c r="AV6" s="362"/>
      <c r="BT6" s="127"/>
      <c r="BU6" s="127"/>
      <c r="BV6" s="128"/>
      <c r="BW6" s="128"/>
      <c r="BX6" s="127"/>
      <c r="BY6" s="103"/>
      <c r="BZ6" s="365"/>
      <c r="CA6" s="365"/>
    </row>
    <row r="7" spans="42:79" ht="15.95" customHeight="1" x14ac:dyDescent="0.25">
      <c r="AP7" s="113" t="s">
        <v>24</v>
      </c>
      <c r="AQ7" s="89" t="str">
        <f>"x [cm]"</f>
        <v>x [cm]</v>
      </c>
      <c r="AR7" s="89" t="str">
        <f>"y [cm]"</f>
        <v>y [cm]</v>
      </c>
      <c r="AS7" s="17"/>
      <c r="AT7" s="113" t="s">
        <v>24</v>
      </c>
      <c r="AU7" s="89" t="str">
        <f>"x [cm]"</f>
        <v>x [cm]</v>
      </c>
      <c r="AV7" s="89" t="str">
        <f>"y [cm]"</f>
        <v>y [cm]</v>
      </c>
      <c r="BT7" s="127"/>
      <c r="BU7" s="127"/>
      <c r="BV7" s="129"/>
      <c r="BW7" s="129"/>
      <c r="BX7" s="127"/>
      <c r="BY7" s="103"/>
      <c r="BZ7" s="365"/>
      <c r="CA7" s="365"/>
    </row>
    <row r="8" spans="42:79" ht="15.95" customHeight="1" x14ac:dyDescent="0.25">
      <c r="AP8" s="114" t="s">
        <v>133</v>
      </c>
      <c r="AQ8" s="18">
        <v>0</v>
      </c>
      <c r="AR8" s="124">
        <f>Escalas!$AC$13</f>
        <v>0</v>
      </c>
      <c r="AS8" s="17"/>
      <c r="AT8" s="114" t="s">
        <v>133</v>
      </c>
      <c r="AU8" s="18">
        <v>0</v>
      </c>
      <c r="AV8" s="124">
        <f>Escalas!$AC$13</f>
        <v>0</v>
      </c>
      <c r="BT8" s="127"/>
      <c r="BU8" s="127"/>
      <c r="BV8" s="127"/>
      <c r="BW8" s="127"/>
      <c r="BX8" s="127"/>
      <c r="BY8" s="103"/>
      <c r="BZ8" s="103"/>
      <c r="CA8" s="103"/>
    </row>
    <row r="9" spans="42:79" ht="15.95" customHeight="1" x14ac:dyDescent="0.25">
      <c r="AP9" s="114" t="s">
        <v>134</v>
      </c>
      <c r="AQ9" s="18">
        <f>AQ8+$AQ$6</f>
        <v>8.1188729047220107</v>
      </c>
      <c r="AR9" s="124">
        <f>Escalas!$AC$13</f>
        <v>0</v>
      </c>
      <c r="AS9" s="17"/>
      <c r="AT9" s="114" t="s">
        <v>134</v>
      </c>
      <c r="AU9" s="18">
        <v>0</v>
      </c>
      <c r="AV9" s="124">
        <f>Escalas!$AC$13</f>
        <v>0</v>
      </c>
      <c r="BT9" s="127"/>
      <c r="BU9" s="127"/>
      <c r="BV9" s="127"/>
      <c r="BW9" s="127"/>
      <c r="BX9" s="127"/>
      <c r="BY9" s="102"/>
      <c r="BZ9" s="43"/>
      <c r="CA9" s="43"/>
    </row>
    <row r="10" spans="42:79" ht="15.95" customHeight="1" x14ac:dyDescent="0.25">
      <c r="AP10" s="114" t="s">
        <v>135</v>
      </c>
      <c r="AQ10" s="18">
        <f>AQ9+$AQ$6</f>
        <v>16.237745809444021</v>
      </c>
      <c r="AR10" s="124">
        <f>Escalas!$AC$13</f>
        <v>0</v>
      </c>
      <c r="AS10" s="7"/>
      <c r="AT10" s="114" t="s">
        <v>135</v>
      </c>
      <c r="AU10" s="18">
        <v>0</v>
      </c>
      <c r="AV10" s="124">
        <f>Escalas!$AC$13</f>
        <v>0</v>
      </c>
      <c r="BT10" s="127"/>
      <c r="BU10" s="127"/>
      <c r="BV10" s="127"/>
      <c r="BW10" s="127"/>
      <c r="BX10" s="127"/>
      <c r="BY10" s="102"/>
      <c r="BZ10" s="43"/>
      <c r="CA10" s="43"/>
    </row>
    <row r="11" spans="42:79" ht="15.95" customHeight="1" x14ac:dyDescent="0.25">
      <c r="AP11" s="134"/>
      <c r="AQ11" s="7"/>
      <c r="AR11" s="5"/>
      <c r="AS11" s="7"/>
      <c r="AT11" s="134"/>
      <c r="AU11" s="17"/>
      <c r="AV11" s="17"/>
      <c r="BT11" s="127"/>
      <c r="BU11" s="127"/>
      <c r="BV11" s="127"/>
      <c r="BW11" s="127"/>
      <c r="BX11" s="127"/>
      <c r="BY11" s="102"/>
      <c r="BZ11" s="43"/>
      <c r="CA11" s="43"/>
    </row>
    <row r="12" spans="42:79" ht="15.95" customHeight="1" x14ac:dyDescent="0.25">
      <c r="AP12" s="131" t="s">
        <v>87</v>
      </c>
      <c r="AQ12" s="359">
        <f>Escalas!Q13</f>
        <v>15.828390873071482</v>
      </c>
      <c r="AR12" s="359"/>
      <c r="AS12" s="17"/>
      <c r="AT12" s="131" t="s">
        <v>102</v>
      </c>
      <c r="AU12" s="363">
        <f>Escalas!T13</f>
        <v>9.9237560332736567</v>
      </c>
      <c r="AV12" s="364"/>
      <c r="BT12" s="127"/>
      <c r="BU12" s="127"/>
      <c r="BV12" s="127"/>
      <c r="BW12" s="127"/>
      <c r="BX12" s="127"/>
    </row>
    <row r="13" spans="42:79" ht="15.95" customHeight="1" x14ac:dyDescent="0.25">
      <c r="AP13" s="114" t="s">
        <v>118</v>
      </c>
      <c r="AQ13" s="358">
        <f>AQ12/2</f>
        <v>7.9141954365357412</v>
      </c>
      <c r="AR13" s="358"/>
      <c r="AS13" s="17"/>
      <c r="AT13" s="114" t="s">
        <v>126</v>
      </c>
      <c r="AU13" s="361">
        <f>AU12/2</f>
        <v>4.9618780166368284</v>
      </c>
      <c r="AV13" s="362"/>
      <c r="BT13" s="127"/>
      <c r="BU13" s="127"/>
      <c r="BV13" s="367"/>
      <c r="BW13" s="367"/>
      <c r="BX13" s="127"/>
      <c r="BY13" s="366"/>
      <c r="BZ13" s="366"/>
      <c r="CA13" s="366"/>
    </row>
    <row r="14" spans="42:79" ht="15.95" customHeight="1" x14ac:dyDescent="0.25">
      <c r="AP14" s="113" t="s">
        <v>24</v>
      </c>
      <c r="AQ14" s="89" t="str">
        <f>"x [cm]"</f>
        <v>x [cm]</v>
      </c>
      <c r="AR14" s="89" t="str">
        <f>"y [cm]"</f>
        <v>y [cm]</v>
      </c>
      <c r="AS14" s="17"/>
      <c r="AT14" s="113" t="s">
        <v>24</v>
      </c>
      <c r="AU14" s="89" t="str">
        <f>"x [cm]"</f>
        <v>x [cm]</v>
      </c>
      <c r="AV14" s="89" t="str">
        <f>"y [cm]"</f>
        <v>y [cm]</v>
      </c>
      <c r="BT14" s="127"/>
      <c r="BU14" s="127"/>
      <c r="BV14" s="128"/>
      <c r="BW14" s="128"/>
      <c r="BX14" s="127"/>
      <c r="BY14" s="103"/>
      <c r="BZ14" s="365"/>
      <c r="CA14" s="365"/>
    </row>
    <row r="15" spans="42:79" ht="15.95" customHeight="1" x14ac:dyDescent="0.25">
      <c r="AP15" s="114" t="s">
        <v>133</v>
      </c>
      <c r="AQ15" s="18">
        <v>0</v>
      </c>
      <c r="AR15" s="18">
        <f>Escalas!$AC$14</f>
        <v>9.9237560332736567</v>
      </c>
      <c r="AS15" s="17"/>
      <c r="AT15" s="114" t="s">
        <v>133</v>
      </c>
      <c r="AU15" s="18">
        <v>0</v>
      </c>
      <c r="AV15" s="18">
        <f>AU5</f>
        <v>0</v>
      </c>
      <c r="BT15" s="127"/>
      <c r="BU15" s="127"/>
      <c r="BV15" s="130"/>
      <c r="BW15" s="129"/>
      <c r="BX15" s="127"/>
      <c r="BY15" s="103"/>
      <c r="BZ15" s="365"/>
      <c r="CA15" s="365"/>
    </row>
    <row r="16" spans="42:79" ht="15.95" customHeight="1" x14ac:dyDescent="0.25">
      <c r="AP16" s="114" t="s">
        <v>134</v>
      </c>
      <c r="AQ16" s="18">
        <f>AQ15+$AQ$13</f>
        <v>7.9141954365357412</v>
      </c>
      <c r="AR16" s="18">
        <f>Escalas!$AC$14</f>
        <v>9.9237560332736567</v>
      </c>
      <c r="AS16" s="17"/>
      <c r="AT16" s="114" t="s">
        <v>134</v>
      </c>
      <c r="AU16" s="18">
        <v>0</v>
      </c>
      <c r="AV16" s="18">
        <f>AV15+$AU$13</f>
        <v>4.9618780166368284</v>
      </c>
      <c r="BT16" s="127"/>
      <c r="BU16" s="127"/>
      <c r="BV16" s="127"/>
      <c r="BW16" s="127"/>
      <c r="BX16" s="127"/>
      <c r="BY16" s="103"/>
      <c r="BZ16" s="103"/>
      <c r="CA16" s="103"/>
    </row>
    <row r="17" spans="42:79" ht="15.95" customHeight="1" x14ac:dyDescent="0.25">
      <c r="AP17" s="114" t="s">
        <v>135</v>
      </c>
      <c r="AQ17" s="18">
        <f>AQ16+$AQ$13</f>
        <v>15.828390873071482</v>
      </c>
      <c r="AR17" s="18">
        <f>Escalas!$AC$14</f>
        <v>9.9237560332736567</v>
      </c>
      <c r="AS17" s="7"/>
      <c r="AT17" s="114" t="s">
        <v>135</v>
      </c>
      <c r="AU17" s="18">
        <v>0</v>
      </c>
      <c r="AV17" s="18">
        <f>AV16+$AU$13</f>
        <v>9.9237560332736567</v>
      </c>
      <c r="BT17" s="127"/>
      <c r="BU17" s="127"/>
      <c r="BV17" s="127"/>
      <c r="BW17" s="127"/>
      <c r="BX17" s="127"/>
      <c r="BY17" s="102"/>
      <c r="BZ17" s="43"/>
      <c r="CA17" s="42"/>
    </row>
    <row r="18" spans="42:79" ht="15.95" customHeight="1" x14ac:dyDescent="0.25">
      <c r="AP18" s="134"/>
      <c r="AQ18" s="17"/>
      <c r="AR18" s="17"/>
      <c r="AS18" s="17"/>
      <c r="AT18" s="134"/>
      <c r="AU18" s="17"/>
      <c r="AV18" s="17"/>
      <c r="BT18" s="127"/>
      <c r="BU18" s="127"/>
      <c r="BV18" s="127"/>
      <c r="BW18" s="127"/>
      <c r="BX18" s="127"/>
      <c r="BY18" s="102"/>
      <c r="BZ18" s="43"/>
      <c r="CA18" s="42"/>
    </row>
    <row r="19" spans="42:79" ht="15.95" customHeight="1" x14ac:dyDescent="0.25">
      <c r="AP19" s="131" t="s">
        <v>88</v>
      </c>
      <c r="AQ19" s="359">
        <f>Escalas!Q14</f>
        <v>13.384665949877844</v>
      </c>
      <c r="AR19" s="359"/>
      <c r="AS19" s="17"/>
      <c r="AT19" s="131" t="s">
        <v>104</v>
      </c>
      <c r="AU19" s="363">
        <f>Escalas!T14</f>
        <v>17.366573058228898</v>
      </c>
      <c r="AV19" s="364"/>
      <c r="BY19" s="102"/>
      <c r="BZ19" s="43"/>
      <c r="CA19" s="42"/>
    </row>
    <row r="20" spans="42:79" ht="15.95" customHeight="1" x14ac:dyDescent="0.25">
      <c r="AP20" s="114" t="s">
        <v>119</v>
      </c>
      <c r="AQ20" s="358">
        <f>AQ19/2</f>
        <v>6.692332974938922</v>
      </c>
      <c r="AR20" s="358"/>
      <c r="AS20" s="125"/>
      <c r="AT20" s="114" t="s">
        <v>127</v>
      </c>
      <c r="AU20" s="361">
        <f>AU19/2</f>
        <v>8.683286529114449</v>
      </c>
      <c r="AV20" s="362"/>
    </row>
    <row r="21" spans="42:79" ht="15.95" customHeight="1" x14ac:dyDescent="0.25">
      <c r="AP21" s="113" t="s">
        <v>24</v>
      </c>
      <c r="AQ21" s="89" t="str">
        <f>"x [cm]"</f>
        <v>x [cm]</v>
      </c>
      <c r="AR21" s="89" t="str">
        <f>"y [cm]"</f>
        <v>y [cm]</v>
      </c>
      <c r="AS21" s="125"/>
      <c r="AT21" s="113" t="s">
        <v>24</v>
      </c>
      <c r="AU21" s="89" t="str">
        <f>"x [cm]"</f>
        <v>x [cm]</v>
      </c>
      <c r="AV21" s="89" t="str">
        <f>"y [cm]"</f>
        <v>y [cm]</v>
      </c>
    </row>
    <row r="22" spans="42:79" ht="15.95" customHeight="1" x14ac:dyDescent="0.25">
      <c r="AP22" s="114" t="s">
        <v>133</v>
      </c>
      <c r="AQ22" s="18">
        <v>0</v>
      </c>
      <c r="AR22" s="18">
        <f>Escalas!$AC$15</f>
        <v>27.290329091502556</v>
      </c>
      <c r="AS22" s="17"/>
      <c r="AT22" s="114" t="s">
        <v>133</v>
      </c>
      <c r="AU22" s="18">
        <v>0</v>
      </c>
      <c r="AV22" s="18">
        <f>AU12</f>
        <v>9.9237560332736567</v>
      </c>
    </row>
    <row r="23" spans="42:79" ht="15.95" customHeight="1" x14ac:dyDescent="0.25">
      <c r="AP23" s="114" t="s">
        <v>134</v>
      </c>
      <c r="AQ23" s="18">
        <f>AQ22+$AQ$20</f>
        <v>6.692332974938922</v>
      </c>
      <c r="AR23" s="18">
        <f>Escalas!$AC$15</f>
        <v>27.290329091502556</v>
      </c>
      <c r="AS23" s="17"/>
      <c r="AT23" s="114" t="s">
        <v>134</v>
      </c>
      <c r="AU23" s="18">
        <v>0</v>
      </c>
      <c r="AV23" s="18">
        <f>AV22+$AU$20</f>
        <v>18.607042562388106</v>
      </c>
      <c r="AW23" s="67"/>
      <c r="AX23" s="67"/>
      <c r="AY23" s="6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</row>
    <row r="24" spans="42:79" ht="15.95" customHeight="1" x14ac:dyDescent="0.25">
      <c r="AP24" s="114" t="s">
        <v>135</v>
      </c>
      <c r="AQ24" s="18">
        <f>AQ23+$AQ$20</f>
        <v>13.384665949877844</v>
      </c>
      <c r="AR24" s="18">
        <f>Escalas!$AC$15</f>
        <v>27.290329091502556</v>
      </c>
      <c r="AS24" s="7"/>
      <c r="AT24" s="114" t="s">
        <v>135</v>
      </c>
      <c r="AU24" s="18">
        <v>0</v>
      </c>
      <c r="AV24" s="18">
        <f>AV23+$AU$20</f>
        <v>27.290329091502556</v>
      </c>
      <c r="AW24" s="67"/>
      <c r="AX24" s="67"/>
      <c r="AY24" s="6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</row>
    <row r="25" spans="42:79" ht="15.95" customHeight="1" x14ac:dyDescent="0.25">
      <c r="AP25" s="360"/>
      <c r="AQ25" s="360"/>
      <c r="AR25" s="360"/>
      <c r="AS25" s="17"/>
      <c r="AT25" s="355"/>
      <c r="AU25" s="355"/>
      <c r="AV25" s="355"/>
    </row>
    <row r="26" spans="42:79" ht="15.95" customHeight="1" x14ac:dyDescent="0.25">
      <c r="AP26" s="131" t="s">
        <v>89</v>
      </c>
      <c r="AQ26" s="359">
        <f>Escalas!Q15</f>
        <v>10.668037735769181</v>
      </c>
      <c r="AR26" s="359"/>
      <c r="AS26" s="17"/>
      <c r="AT26" s="131" t="s">
        <v>106</v>
      </c>
      <c r="AU26" s="363">
        <f>Escalas!T15</f>
        <v>12.40469504159207</v>
      </c>
      <c r="AV26" s="364"/>
      <c r="AX26" s="366"/>
      <c r="AY26" s="366"/>
      <c r="AZ26" s="366"/>
      <c r="BB26" s="366"/>
      <c r="BC26" s="366"/>
      <c r="BD26" s="366"/>
      <c r="BF26" s="366"/>
      <c r="BG26" s="366"/>
      <c r="BH26" s="366"/>
      <c r="BJ26" s="366"/>
      <c r="BK26" s="366"/>
      <c r="BL26" s="366"/>
      <c r="BN26" s="366"/>
      <c r="BO26" s="366"/>
      <c r="BP26" s="366"/>
      <c r="BR26" s="366"/>
      <c r="BS26" s="366"/>
      <c r="BT26" s="366"/>
      <c r="BV26" s="366"/>
      <c r="BW26" s="366"/>
    </row>
    <row r="27" spans="42:79" ht="15.95" customHeight="1" x14ac:dyDescent="0.25">
      <c r="AP27" s="114" t="s">
        <v>120</v>
      </c>
      <c r="AQ27" s="358">
        <f>AQ26/2</f>
        <v>5.3340188678845903</v>
      </c>
      <c r="AR27" s="358"/>
      <c r="AS27" s="17"/>
      <c r="AT27" s="114" t="s">
        <v>129</v>
      </c>
      <c r="AU27" s="361">
        <f>AU26/2</f>
        <v>6.2023475207960352</v>
      </c>
      <c r="AV27" s="362"/>
    </row>
    <row r="28" spans="42:79" ht="15.95" customHeight="1" x14ac:dyDescent="0.25">
      <c r="AP28" s="113" t="s">
        <v>24</v>
      </c>
      <c r="AQ28" s="89" t="str">
        <f>"x [cm]"</f>
        <v>x [cm]</v>
      </c>
      <c r="AR28" s="89" t="str">
        <f>"y [cm]"</f>
        <v>y [cm]</v>
      </c>
      <c r="AS28" s="17"/>
      <c r="AT28" s="113" t="s">
        <v>24</v>
      </c>
      <c r="AU28" s="89" t="str">
        <f>"x [cm]"</f>
        <v>x [cm]</v>
      </c>
      <c r="AV28" s="89" t="str">
        <f>"y [cm]"</f>
        <v>y [cm]</v>
      </c>
      <c r="AX28" s="94"/>
      <c r="AY28" s="94"/>
      <c r="AZ28" s="94"/>
      <c r="BA28" s="94"/>
      <c r="BB28" s="94"/>
      <c r="BC28" s="94"/>
      <c r="BD28" s="94"/>
      <c r="BF28" s="366"/>
      <c r="BG28" s="366"/>
      <c r="BH28" s="366"/>
      <c r="BJ28" s="366"/>
      <c r="BK28" s="366"/>
      <c r="BL28" s="366"/>
      <c r="BN28" s="366"/>
      <c r="BO28" s="366"/>
      <c r="BP28" s="366"/>
      <c r="BR28" s="366"/>
      <c r="BS28" s="366"/>
      <c r="BT28" s="366"/>
      <c r="BV28" s="366"/>
      <c r="BW28" s="366"/>
    </row>
    <row r="29" spans="42:79" ht="15.95" customHeight="1" x14ac:dyDescent="0.25">
      <c r="AP29" s="114" t="s">
        <v>133</v>
      </c>
      <c r="AQ29" s="18">
        <v>0</v>
      </c>
      <c r="AR29" s="18">
        <f>Escalas!$AC$16</f>
        <v>39.695024133094627</v>
      </c>
      <c r="AS29" s="17"/>
      <c r="AT29" s="114" t="s">
        <v>133</v>
      </c>
      <c r="AU29" s="18">
        <v>0</v>
      </c>
      <c r="AV29" s="18">
        <f>AV24</f>
        <v>27.290329091502556</v>
      </c>
      <c r="BF29" s="103"/>
      <c r="BG29" s="365"/>
      <c r="BH29" s="365"/>
      <c r="BJ29" s="103"/>
      <c r="BK29" s="365"/>
      <c r="BL29" s="365"/>
      <c r="BN29" s="103"/>
      <c r="BO29" s="365"/>
      <c r="BP29" s="365"/>
      <c r="BR29" s="103"/>
      <c r="BS29" s="365"/>
      <c r="BT29" s="365"/>
      <c r="BV29" s="119"/>
      <c r="BW29" s="119"/>
    </row>
    <row r="30" spans="42:79" ht="15.95" customHeight="1" x14ac:dyDescent="0.25">
      <c r="AP30" s="114" t="s">
        <v>134</v>
      </c>
      <c r="AQ30" s="18">
        <f>AQ29+$AQ$27</f>
        <v>5.3340188678845903</v>
      </c>
      <c r="AR30" s="18">
        <f>Escalas!$AC$16</f>
        <v>39.695024133094627</v>
      </c>
      <c r="AS30" s="17"/>
      <c r="AT30" s="114" t="s">
        <v>134</v>
      </c>
      <c r="AU30" s="18">
        <v>0</v>
      </c>
      <c r="AV30" s="18">
        <f>AV29+$AU$27</f>
        <v>33.492676612298595</v>
      </c>
      <c r="BF30" s="103"/>
      <c r="BG30" s="365"/>
      <c r="BH30" s="365"/>
      <c r="BJ30" s="103"/>
      <c r="BK30" s="365"/>
      <c r="BL30" s="365"/>
      <c r="BN30" s="103"/>
      <c r="BO30" s="365"/>
      <c r="BP30" s="365"/>
      <c r="BR30" s="103"/>
      <c r="BS30" s="365"/>
      <c r="BT30" s="365"/>
      <c r="BV30" s="38"/>
      <c r="BW30" s="56"/>
    </row>
    <row r="31" spans="42:79" ht="15.95" customHeight="1" x14ac:dyDescent="0.25">
      <c r="AP31" s="114" t="s">
        <v>135</v>
      </c>
      <c r="AQ31" s="18">
        <f>AQ30+$AQ$27</f>
        <v>10.668037735769181</v>
      </c>
      <c r="AR31" s="18">
        <f>Escalas!$AC$16</f>
        <v>39.695024133094627</v>
      </c>
      <c r="AS31" s="17"/>
      <c r="AT31" s="114" t="s">
        <v>135</v>
      </c>
      <c r="AU31" s="18">
        <v>0</v>
      </c>
      <c r="AV31" s="18">
        <f>AV30+$AU$27</f>
        <v>39.695024133094634</v>
      </c>
      <c r="BF31" s="103"/>
      <c r="BG31" s="103"/>
      <c r="BH31" s="103"/>
      <c r="BJ31" s="103"/>
      <c r="BK31" s="103"/>
      <c r="BL31" s="103"/>
      <c r="BN31" s="103"/>
      <c r="BO31" s="103"/>
      <c r="BP31" s="103"/>
      <c r="BR31" s="103"/>
      <c r="BS31" s="103"/>
      <c r="BT31" s="103"/>
    </row>
    <row r="32" spans="42:79" ht="15.95" customHeight="1" x14ac:dyDescent="0.25">
      <c r="AP32" s="134"/>
      <c r="AQ32" s="17"/>
      <c r="AR32" s="17"/>
      <c r="AS32" s="17"/>
      <c r="AT32" s="134"/>
      <c r="AU32" s="17"/>
      <c r="AV32" s="17"/>
      <c r="BF32" s="102"/>
      <c r="BG32" s="43"/>
      <c r="BH32" s="43"/>
      <c r="BJ32" s="102"/>
      <c r="BK32" s="43"/>
      <c r="BL32" s="43"/>
      <c r="BN32" s="102"/>
      <c r="BO32" s="43"/>
      <c r="BP32" s="43"/>
      <c r="BR32" s="102"/>
      <c r="BS32" s="43"/>
      <c r="BT32" s="43"/>
    </row>
    <row r="33" spans="42:72" ht="15.95" customHeight="1" x14ac:dyDescent="0.25">
      <c r="AP33" s="131" t="s">
        <v>90</v>
      </c>
      <c r="AQ33" s="359">
        <f>Escalas!Q16</f>
        <v>8.373169153074647</v>
      </c>
      <c r="AR33" s="359"/>
      <c r="AS33" s="17"/>
      <c r="AT33" s="131" t="s">
        <v>107</v>
      </c>
      <c r="AU33" s="363">
        <f>Escalas!T16</f>
        <v>9.9237560332736567</v>
      </c>
      <c r="AV33" s="364"/>
      <c r="BF33" s="102"/>
      <c r="BG33" s="43"/>
      <c r="BH33" s="43"/>
      <c r="BJ33" s="102"/>
      <c r="BK33" s="43"/>
      <c r="BL33" s="43"/>
      <c r="BN33" s="102"/>
      <c r="BO33" s="43"/>
      <c r="BP33" s="43"/>
      <c r="BR33" s="102"/>
      <c r="BS33" s="43"/>
      <c r="BT33" s="43"/>
    </row>
    <row r="34" spans="42:72" ht="15.95" customHeight="1" x14ac:dyDescent="0.25">
      <c r="AP34" s="114" t="s">
        <v>121</v>
      </c>
      <c r="AQ34" s="358">
        <f>AQ33/2</f>
        <v>4.1865845765373235</v>
      </c>
      <c r="AR34" s="358"/>
      <c r="AS34" s="17"/>
      <c r="AT34" s="114" t="s">
        <v>130</v>
      </c>
      <c r="AU34" s="361">
        <f>AU33/2</f>
        <v>4.9618780166368284</v>
      </c>
      <c r="AV34" s="362"/>
      <c r="AX34" s="102"/>
      <c r="AY34" s="43"/>
      <c r="AZ34" s="43"/>
      <c r="BB34" s="102"/>
      <c r="BC34" s="43"/>
      <c r="BD34" s="43"/>
      <c r="BF34" s="102"/>
      <c r="BG34" s="43"/>
      <c r="BH34" s="43"/>
      <c r="BJ34" s="102"/>
      <c r="BK34" s="43"/>
      <c r="BL34" s="43"/>
      <c r="BN34" s="102"/>
      <c r="BO34" s="43"/>
      <c r="BP34" s="43"/>
      <c r="BR34" s="102"/>
      <c r="BS34" s="43"/>
      <c r="BT34" s="43"/>
    </row>
    <row r="35" spans="42:72" ht="15.95" customHeight="1" x14ac:dyDescent="0.25">
      <c r="AP35" s="113" t="s">
        <v>24</v>
      </c>
      <c r="AQ35" s="89" t="str">
        <f>"x [cm]"</f>
        <v>x [cm]</v>
      </c>
      <c r="AR35" s="89" t="str">
        <f>"y [cm]"</f>
        <v>y [cm]</v>
      </c>
      <c r="AS35" s="17"/>
      <c r="AT35" s="113" t="s">
        <v>24</v>
      </c>
      <c r="AU35" s="89" t="str">
        <f>"x [cm]"</f>
        <v>x [cm]</v>
      </c>
      <c r="AV35" s="89" t="str">
        <f>"y [cm]"</f>
        <v>y [cm]</v>
      </c>
    </row>
    <row r="36" spans="42:72" ht="15.95" customHeight="1" x14ac:dyDescent="0.25">
      <c r="AP36" s="114" t="s">
        <v>133</v>
      </c>
      <c r="AQ36" s="18">
        <v>0</v>
      </c>
      <c r="AR36" s="18">
        <f>Escalas!$AC$17</f>
        <v>49.618780166368282</v>
      </c>
      <c r="AS36" s="17"/>
      <c r="AT36" s="114" t="s">
        <v>133</v>
      </c>
      <c r="AU36" s="18">
        <v>0</v>
      </c>
      <c r="AV36" s="18">
        <f>AV31</f>
        <v>39.695024133094634</v>
      </c>
    </row>
    <row r="37" spans="42:72" ht="15.95" customHeight="1" x14ac:dyDescent="0.25">
      <c r="AP37" s="114" t="s">
        <v>134</v>
      </c>
      <c r="AQ37" s="18">
        <f>AQ36+$AQ$34</f>
        <v>4.1865845765373235</v>
      </c>
      <c r="AR37" s="18">
        <f>Escalas!$AC$17</f>
        <v>49.618780166368282</v>
      </c>
      <c r="AS37" s="17"/>
      <c r="AT37" s="114" t="s">
        <v>134</v>
      </c>
      <c r="AU37" s="18">
        <v>0</v>
      </c>
      <c r="AV37" s="18">
        <f>AV36+$AU$34</f>
        <v>44.656902149731465</v>
      </c>
    </row>
    <row r="38" spans="42:72" ht="15.95" customHeight="1" x14ac:dyDescent="0.25">
      <c r="AP38" s="114" t="s">
        <v>135</v>
      </c>
      <c r="AQ38" s="18">
        <f>AQ37+$AQ$34</f>
        <v>8.373169153074647</v>
      </c>
      <c r="AR38" s="18">
        <f>Escalas!$AC$17</f>
        <v>49.618780166368282</v>
      </c>
      <c r="AS38" s="17"/>
      <c r="AT38" s="114" t="s">
        <v>135</v>
      </c>
      <c r="AU38" s="18">
        <v>0</v>
      </c>
      <c r="AV38" s="18">
        <f>AV37+$AU$34</f>
        <v>49.618780166368296</v>
      </c>
    </row>
    <row r="39" spans="42:72" ht="15.95" customHeight="1" x14ac:dyDescent="0.25">
      <c r="AP39" s="134"/>
      <c r="AQ39" s="17"/>
      <c r="AR39" s="17"/>
      <c r="AS39" s="17"/>
      <c r="AT39" s="134"/>
      <c r="AU39" s="17"/>
      <c r="AV39" s="17"/>
    </row>
    <row r="40" spans="42:72" ht="15.95" customHeight="1" x14ac:dyDescent="0.25">
      <c r="AP40" s="131" t="s">
        <v>91</v>
      </c>
      <c r="AQ40" s="359">
        <f>Escalas!Q17</f>
        <v>5.6813503290491685</v>
      </c>
      <c r="AR40" s="359"/>
      <c r="AS40" s="17"/>
      <c r="AT40" s="131" t="s">
        <v>108</v>
      </c>
      <c r="AU40" s="363">
        <f>Escalas!T17</f>
        <v>9.9237560332736567</v>
      </c>
      <c r="AV40" s="364"/>
    </row>
    <row r="41" spans="42:72" ht="15.95" customHeight="1" x14ac:dyDescent="0.25">
      <c r="AP41" s="114" t="s">
        <v>122</v>
      </c>
      <c r="AQ41" s="358">
        <f>AQ40/2</f>
        <v>2.8406751645245842</v>
      </c>
      <c r="AR41" s="358"/>
      <c r="AS41" s="17"/>
      <c r="AT41" s="114" t="s">
        <v>128</v>
      </c>
      <c r="AU41" s="361">
        <f>AU40/2</f>
        <v>4.9618780166368284</v>
      </c>
      <c r="AV41" s="362"/>
    </row>
    <row r="42" spans="42:72" ht="15.95" customHeight="1" x14ac:dyDescent="0.25">
      <c r="AP42" s="113" t="s">
        <v>24</v>
      </c>
      <c r="AQ42" s="89" t="str">
        <f>"x [cm]"</f>
        <v>x [cm]</v>
      </c>
      <c r="AR42" s="89" t="str">
        <f>"y [cm]"</f>
        <v>y [cm]</v>
      </c>
      <c r="AS42" s="17"/>
      <c r="AT42" s="113" t="s">
        <v>24</v>
      </c>
      <c r="AU42" s="89" t="str">
        <f>"x [cm]"</f>
        <v>x [cm]</v>
      </c>
      <c r="AV42" s="89" t="str">
        <f>"y [cm]"</f>
        <v>y [cm]</v>
      </c>
    </row>
    <row r="43" spans="42:72" ht="15.95" customHeight="1" x14ac:dyDescent="0.25">
      <c r="AP43" s="114" t="s">
        <v>133</v>
      </c>
      <c r="AQ43" s="18">
        <v>0</v>
      </c>
      <c r="AR43" s="18">
        <f>Escalas!$AC$18</f>
        <v>59.542536199641937</v>
      </c>
      <c r="AS43" s="17"/>
      <c r="AT43" s="114" t="s">
        <v>133</v>
      </c>
      <c r="AU43" s="18">
        <v>0</v>
      </c>
      <c r="AV43" s="18">
        <f>AV38</f>
        <v>49.618780166368296</v>
      </c>
    </row>
    <row r="44" spans="42:72" ht="15.95" customHeight="1" x14ac:dyDescent="0.25">
      <c r="AP44" s="114" t="s">
        <v>134</v>
      </c>
      <c r="AQ44" s="18">
        <f>AQ43+$AQ$41</f>
        <v>2.8406751645245842</v>
      </c>
      <c r="AR44" s="18">
        <f>Escalas!$AC$18</f>
        <v>59.542536199641937</v>
      </c>
      <c r="AS44" s="17"/>
      <c r="AT44" s="114" t="s">
        <v>134</v>
      </c>
      <c r="AU44" s="18">
        <v>0</v>
      </c>
      <c r="AV44" s="18">
        <f>AV43+$AU$41</f>
        <v>54.580658183005127</v>
      </c>
    </row>
    <row r="45" spans="42:72" ht="15.95" customHeight="1" x14ac:dyDescent="0.25">
      <c r="AP45" s="114" t="s">
        <v>135</v>
      </c>
      <c r="AQ45" s="18">
        <f>AQ44+$AQ$41</f>
        <v>5.6813503290491685</v>
      </c>
      <c r="AR45" s="18">
        <f>Escalas!$AC$18</f>
        <v>59.542536199641937</v>
      </c>
      <c r="AS45" s="17"/>
      <c r="AT45" s="114" t="s">
        <v>135</v>
      </c>
      <c r="AU45" s="18">
        <v>0</v>
      </c>
      <c r="AV45" s="18">
        <f>AV44+$AU$41</f>
        <v>59.542536199641958</v>
      </c>
    </row>
    <row r="46" spans="42:72" ht="15.95" customHeight="1" x14ac:dyDescent="0.25">
      <c r="AP46" s="134"/>
      <c r="AQ46" s="17"/>
      <c r="AR46" s="17"/>
      <c r="AS46" s="17"/>
      <c r="AT46" s="134"/>
      <c r="AU46" s="17"/>
      <c r="AV46" s="17"/>
    </row>
    <row r="47" spans="42:72" ht="15.95" customHeight="1" x14ac:dyDescent="0.25">
      <c r="AP47" s="131" t="s">
        <v>92</v>
      </c>
      <c r="AQ47" s="359">
        <f>Escalas!Q18</f>
        <v>3.6469803422280687</v>
      </c>
      <c r="AR47" s="359"/>
      <c r="AS47" s="17"/>
      <c r="AT47" s="131" t="s">
        <v>109</v>
      </c>
      <c r="AU47" s="363">
        <f>Escalas!T18</f>
        <v>7.442817024955243</v>
      </c>
      <c r="AV47" s="364"/>
    </row>
    <row r="48" spans="42:72" ht="15.95" customHeight="1" x14ac:dyDescent="0.25">
      <c r="AP48" s="114" t="s">
        <v>123</v>
      </c>
      <c r="AQ48" s="358">
        <f>AQ47/2</f>
        <v>1.8234901711140343</v>
      </c>
      <c r="AR48" s="358"/>
      <c r="AS48" s="17"/>
      <c r="AT48" s="114" t="s">
        <v>131</v>
      </c>
      <c r="AU48" s="361">
        <f>AU47/2</f>
        <v>3.7214085124776215</v>
      </c>
      <c r="AV48" s="362"/>
    </row>
    <row r="49" spans="42:48" ht="15.95" customHeight="1" x14ac:dyDescent="0.25">
      <c r="AP49" s="113" t="s">
        <v>24</v>
      </c>
      <c r="AQ49" s="89" t="str">
        <f>"x [cm]"</f>
        <v>x [cm]</v>
      </c>
      <c r="AR49" s="89" t="str">
        <f>"y [cm]"</f>
        <v>y [cm]</v>
      </c>
      <c r="AS49" s="17"/>
      <c r="AT49" s="113" t="s">
        <v>24</v>
      </c>
      <c r="AU49" s="89" t="str">
        <f>"x [cm]"</f>
        <v>x [cm]</v>
      </c>
      <c r="AV49" s="89" t="str">
        <f>"y [cm]"</f>
        <v>y [cm]</v>
      </c>
    </row>
    <row r="50" spans="42:48" ht="15.95" customHeight="1" x14ac:dyDescent="0.25">
      <c r="AP50" s="114" t="s">
        <v>133</v>
      </c>
      <c r="AQ50" s="18">
        <v>0</v>
      </c>
      <c r="AR50" s="18">
        <f>Escalas!$AC$19</f>
        <v>66.985353224597176</v>
      </c>
      <c r="AS50" s="17"/>
      <c r="AT50" s="114" t="s">
        <v>133</v>
      </c>
      <c r="AU50" s="18">
        <v>0</v>
      </c>
      <c r="AV50" s="18">
        <f>AV45</f>
        <v>59.542536199641958</v>
      </c>
    </row>
    <row r="51" spans="42:48" ht="15.95" customHeight="1" x14ac:dyDescent="0.25">
      <c r="AP51" s="114" t="s">
        <v>134</v>
      </c>
      <c r="AQ51" s="18">
        <f>AQ50+$AQ$48</f>
        <v>1.8234901711140343</v>
      </c>
      <c r="AR51" s="18">
        <f>Escalas!$AC$19</f>
        <v>66.985353224597176</v>
      </c>
      <c r="AS51" s="17"/>
      <c r="AT51" s="114" t="s">
        <v>134</v>
      </c>
      <c r="AU51" s="18">
        <v>0</v>
      </c>
      <c r="AV51" s="18">
        <f>AV50+$AU$48</f>
        <v>63.263944712119581</v>
      </c>
    </row>
    <row r="52" spans="42:48" ht="15.95" customHeight="1" x14ac:dyDescent="0.25">
      <c r="AP52" s="114" t="s">
        <v>135</v>
      </c>
      <c r="AQ52" s="18">
        <f>AQ51+$AQ$48</f>
        <v>3.6469803422280687</v>
      </c>
      <c r="AR52" s="18">
        <f>Escalas!$AC$19</f>
        <v>66.985353224597176</v>
      </c>
      <c r="AS52" s="17"/>
      <c r="AT52" s="114" t="s">
        <v>135</v>
      </c>
      <c r="AU52" s="18">
        <v>0</v>
      </c>
      <c r="AV52" s="18">
        <f>AV51+$AU$48</f>
        <v>66.985353224597205</v>
      </c>
    </row>
    <row r="53" spans="42:48" ht="15.95" customHeight="1" x14ac:dyDescent="0.25">
      <c r="AP53" s="134"/>
      <c r="AQ53" s="17"/>
      <c r="AR53" s="17"/>
      <c r="AS53" s="17"/>
      <c r="AT53" s="134"/>
      <c r="AU53" s="17"/>
      <c r="AV53" s="17"/>
    </row>
    <row r="54" spans="42:48" ht="15.95" customHeight="1" x14ac:dyDescent="0.25">
      <c r="AP54" s="131" t="s">
        <v>110</v>
      </c>
      <c r="AQ54" s="359">
        <f>Escalas!Q19</f>
        <v>0</v>
      </c>
      <c r="AR54" s="359"/>
      <c r="AS54" s="17"/>
      <c r="AT54" s="131" t="s">
        <v>111</v>
      </c>
      <c r="AU54" s="363">
        <f>Escalas!T19</f>
        <v>13.421880035002621</v>
      </c>
      <c r="AV54" s="364"/>
    </row>
    <row r="55" spans="42:48" ht="15.95" customHeight="1" x14ac:dyDescent="0.25">
      <c r="AP55" s="114" t="s">
        <v>124</v>
      </c>
      <c r="AQ55" s="358">
        <f>AQ54/2</f>
        <v>0</v>
      </c>
      <c r="AR55" s="358"/>
      <c r="AS55" s="17"/>
      <c r="AT55" s="114" t="s">
        <v>132</v>
      </c>
      <c r="AU55" s="358">
        <f>AU54/2</f>
        <v>6.7109400175013105</v>
      </c>
      <c r="AV55" s="358"/>
    </row>
    <row r="56" spans="42:48" ht="15.95" customHeight="1" x14ac:dyDescent="0.25">
      <c r="AP56" s="113" t="s">
        <v>24</v>
      </c>
      <c r="AQ56" s="89" t="str">
        <f>"x [cm]"</f>
        <v>x [cm]</v>
      </c>
      <c r="AR56" s="89" t="str">
        <f>"y [cm]"</f>
        <v>y [cm]</v>
      </c>
      <c r="AS56" s="17"/>
      <c r="AT56" s="113" t="s">
        <v>24</v>
      </c>
      <c r="AU56" s="89" t="str">
        <f>"x [cm]"</f>
        <v>x [cm]</v>
      </c>
      <c r="AV56" s="89" t="str">
        <f>"y [cm]"</f>
        <v>y [cm]</v>
      </c>
    </row>
    <row r="57" spans="42:48" ht="15.95" customHeight="1" x14ac:dyDescent="0.25">
      <c r="AP57" s="114" t="s">
        <v>133</v>
      </c>
      <c r="AQ57" s="18">
        <v>0</v>
      </c>
      <c r="AR57" s="18">
        <f>Escalas!$AC$20</f>
        <v>80.407233259599792</v>
      </c>
      <c r="AS57" s="17"/>
      <c r="AT57" s="114" t="s">
        <v>133</v>
      </c>
      <c r="AU57" s="18">
        <v>0</v>
      </c>
      <c r="AV57" s="18">
        <f>AV52</f>
        <v>66.985353224597205</v>
      </c>
    </row>
    <row r="58" spans="42:48" ht="15.95" customHeight="1" x14ac:dyDescent="0.25">
      <c r="AP58" s="114" t="s">
        <v>134</v>
      </c>
      <c r="AQ58" s="18">
        <f>AQ57+$AQ$55</f>
        <v>0</v>
      </c>
      <c r="AR58" s="18">
        <f>Escalas!$AC$20</f>
        <v>80.407233259599792</v>
      </c>
      <c r="AS58" s="17"/>
      <c r="AT58" s="114" t="s">
        <v>134</v>
      </c>
      <c r="AU58" s="18">
        <v>0</v>
      </c>
      <c r="AV58" s="18">
        <f>AV57+$AU$55</f>
        <v>73.69629324209852</v>
      </c>
    </row>
    <row r="59" spans="42:48" ht="15.95" customHeight="1" x14ac:dyDescent="0.25">
      <c r="AP59" s="114" t="s">
        <v>135</v>
      </c>
      <c r="AQ59" s="18">
        <f>AQ58+$AQ$55</f>
        <v>0</v>
      </c>
      <c r="AR59" s="18">
        <f>Escalas!$AC$20</f>
        <v>80.407233259599792</v>
      </c>
      <c r="AS59" s="17"/>
      <c r="AT59" s="114" t="s">
        <v>135</v>
      </c>
      <c r="AU59" s="18">
        <v>0</v>
      </c>
      <c r="AV59" s="18">
        <f>AV58+$AU$55</f>
        <v>80.407233259599835</v>
      </c>
    </row>
    <row r="60" spans="42:48" ht="15.95" customHeight="1" x14ac:dyDescent="0.25"/>
    <row r="61" spans="42:48" ht="15.95" customHeight="1" x14ac:dyDescent="0.25">
      <c r="AP61" s="114" t="s">
        <v>103</v>
      </c>
      <c r="AQ61" s="361">
        <f>AQ5*2</f>
        <v>32.475491618888043</v>
      </c>
      <c r="AR61" s="362"/>
      <c r="AS61" s="7"/>
      <c r="AT61" s="114" t="s">
        <v>105</v>
      </c>
      <c r="AU61" s="361">
        <f>SUM(AU5,AU12,AU19,AU26,AU33,AU40,AU47,AU54)</f>
        <v>80.407233259599792</v>
      </c>
      <c r="AV61" s="362"/>
    </row>
    <row r="62" spans="42:48" ht="15.95" customHeight="1" x14ac:dyDescent="0.25">
      <c r="AP62" s="116"/>
      <c r="AQ62" s="135"/>
      <c r="AR62" s="135"/>
      <c r="AS62" s="7"/>
      <c r="AT62" s="116"/>
      <c r="AU62" s="135"/>
      <c r="AV62" s="135"/>
    </row>
    <row r="63" spans="42:48" ht="15.95" customHeight="1" x14ac:dyDescent="0.25">
      <c r="AP63" s="116"/>
      <c r="AQ63" s="135"/>
      <c r="AR63" s="135"/>
      <c r="AS63" s="7"/>
      <c r="AT63" s="116"/>
      <c r="AU63" s="135"/>
      <c r="AV63" s="135"/>
    </row>
    <row r="64" spans="42:48" ht="15.95" customHeight="1" x14ac:dyDescent="0.25"/>
    <row r="65" spans="42:48" ht="15.95" customHeight="1" x14ac:dyDescent="0.25">
      <c r="AP65" s="255" t="s">
        <v>136</v>
      </c>
      <c r="AQ65" s="255"/>
      <c r="AR65" s="255"/>
      <c r="AT65" s="255" t="s">
        <v>137</v>
      </c>
      <c r="AU65" s="255"/>
      <c r="AV65" s="255"/>
    </row>
    <row r="66" spans="42:48" ht="15.95" customHeight="1" x14ac:dyDescent="0.25">
      <c r="AP66" s="113" t="s">
        <v>24</v>
      </c>
      <c r="AQ66" s="89" t="str">
        <f>"x [cm]"</f>
        <v>x [cm]</v>
      </c>
      <c r="AR66" s="89" t="str">
        <f>"y [cm]"</f>
        <v>y [cm]</v>
      </c>
      <c r="AS66" s="17"/>
      <c r="AT66" s="113" t="s">
        <v>24</v>
      </c>
      <c r="AU66" s="89" t="str">
        <f>"x [cm]"</f>
        <v>x [cm]</v>
      </c>
      <c r="AV66" s="89" t="str">
        <f>"y [cm]"</f>
        <v>y [cm]</v>
      </c>
    </row>
    <row r="67" spans="42:48" ht="15.95" customHeight="1" x14ac:dyDescent="0.25">
      <c r="AP67" s="114" t="s">
        <v>133</v>
      </c>
      <c r="AQ67" s="18">
        <f>-AQ69</f>
        <v>-18.237745809444021</v>
      </c>
      <c r="AR67" s="18">
        <f>-Gomos!$I$29</f>
        <v>-2</v>
      </c>
      <c r="AS67" s="17"/>
      <c r="AT67" s="114" t="s">
        <v>133</v>
      </c>
      <c r="AU67" s="18">
        <f>-((Gomos!I23*100/2)+Gomos!I29)</f>
        <v>-18.237745809444021</v>
      </c>
      <c r="AV67" s="18">
        <f>-Gomos!$I$29</f>
        <v>-2</v>
      </c>
    </row>
    <row r="68" spans="42:48" ht="15.95" customHeight="1" x14ac:dyDescent="0.25">
      <c r="AP68" s="114" t="s">
        <v>134</v>
      </c>
      <c r="AQ68" s="18">
        <v>0</v>
      </c>
      <c r="AR68" s="18">
        <f>-Gomos!$I$29</f>
        <v>-2</v>
      </c>
      <c r="AS68" s="17"/>
      <c r="AT68" s="114" t="s">
        <v>134</v>
      </c>
      <c r="AU68" s="18">
        <f>AU67</f>
        <v>-18.237745809444021</v>
      </c>
      <c r="AV68" s="18">
        <f>AU61/2</f>
        <v>40.203616629799896</v>
      </c>
    </row>
    <row r="69" spans="42:48" ht="15.95" customHeight="1" x14ac:dyDescent="0.25">
      <c r="AP69" s="114" t="s">
        <v>135</v>
      </c>
      <c r="AQ69" s="18">
        <f>(AQ61/2)+Gomos!$I$29</f>
        <v>18.237745809444021</v>
      </c>
      <c r="AR69" s="18">
        <f>-Gomos!$I$29</f>
        <v>-2</v>
      </c>
      <c r="AS69" s="17"/>
      <c r="AT69" s="114" t="s">
        <v>135</v>
      </c>
      <c r="AU69" s="18">
        <f>AU68</f>
        <v>-18.237745809444021</v>
      </c>
      <c r="AV69" s="18">
        <f>AU61</f>
        <v>80.407233259599792</v>
      </c>
    </row>
    <row r="70" spans="42:48" ht="15.95" customHeight="1" x14ac:dyDescent="0.25"/>
    <row r="71" spans="42:48" ht="15.95" customHeight="1" x14ac:dyDescent="0.25">
      <c r="AP71" s="114" t="s">
        <v>201</v>
      </c>
      <c r="AQ71" s="361">
        <f>AQ61+Gomos!$I$29*2</f>
        <v>36.475491618888043</v>
      </c>
      <c r="AR71" s="362"/>
      <c r="AS71" s="7"/>
      <c r="AT71" s="114" t="s">
        <v>26</v>
      </c>
      <c r="AU71" s="361">
        <f>AU61+Gomos!$I$29</f>
        <v>82.407233259599792</v>
      </c>
      <c r="AV71" s="362"/>
    </row>
    <row r="72" spans="42:48" ht="15.95" customHeight="1" x14ac:dyDescent="0.25"/>
    <row r="73" spans="42:48" ht="15.95" customHeight="1" x14ac:dyDescent="0.25"/>
    <row r="74" spans="42:48" ht="15.95" customHeight="1" x14ac:dyDescent="0.25"/>
    <row r="75" spans="42:48" ht="15.95" customHeight="1" x14ac:dyDescent="0.25">
      <c r="AP75" s="255" t="s">
        <v>186</v>
      </c>
      <c r="AQ75" s="255"/>
      <c r="AR75" s="255"/>
    </row>
    <row r="76" spans="42:48" ht="15.95" customHeight="1" x14ac:dyDescent="0.25">
      <c r="AP76" s="113" t="s">
        <v>24</v>
      </c>
      <c r="AQ76" s="89" t="str">
        <f>"x [cm]"</f>
        <v>x [cm]</v>
      </c>
      <c r="AR76" s="89" t="str">
        <f>"y [cm]"</f>
        <v>y [cm]</v>
      </c>
    </row>
    <row r="77" spans="42:48" ht="15.95" customHeight="1" x14ac:dyDescent="0.25">
      <c r="AP77" s="114" t="s">
        <v>133</v>
      </c>
      <c r="AQ77" s="18">
        <f>AQ5</f>
        <v>16.237745809444021</v>
      </c>
      <c r="AR77" s="18">
        <v>0</v>
      </c>
    </row>
    <row r="78" spans="42:48" ht="15.95" customHeight="1" x14ac:dyDescent="0.25">
      <c r="AP78" s="114" t="s">
        <v>134</v>
      </c>
      <c r="AQ78" s="18">
        <f>AQ5+Gomos!I29</f>
        <v>18.237745809444021</v>
      </c>
      <c r="AR78" s="18">
        <v>0</v>
      </c>
    </row>
    <row r="79" spans="42:48" ht="15.95" customHeight="1" x14ac:dyDescent="0.25">
      <c r="AP79" s="166" t="str">
        <f>"Margem: "&amp;Gomos!I29&amp;" ✂"</f>
        <v>Margem: 2 ✂</v>
      </c>
    </row>
    <row r="80" spans="42:48" ht="15.95" customHeight="1" x14ac:dyDescent="0.25"/>
    <row r="81" ht="15.95" customHeight="1" x14ac:dyDescent="0.25"/>
    <row r="82" ht="15.95" customHeight="1" x14ac:dyDescent="0.25"/>
    <row r="83" ht="15.95" customHeight="1" x14ac:dyDescent="0.25"/>
    <row r="84" ht="15.95" customHeight="1" x14ac:dyDescent="0.25"/>
    <row r="85" ht="15.95" customHeight="1" x14ac:dyDescent="0.25"/>
    <row r="86" ht="15.95" customHeight="1" x14ac:dyDescent="0.25"/>
    <row r="87" ht="15.95" customHeight="1" x14ac:dyDescent="0.25"/>
    <row r="88" ht="15.95" customHeight="1" x14ac:dyDescent="0.25"/>
    <row r="89" ht="15.95" customHeight="1" x14ac:dyDescent="0.25"/>
    <row r="90" ht="15.95" customHeight="1" x14ac:dyDescent="0.25"/>
    <row r="91" ht="15.95" customHeight="1" x14ac:dyDescent="0.25"/>
    <row r="92" ht="15.95" customHeight="1" x14ac:dyDescent="0.25"/>
    <row r="93" ht="15.95" customHeight="1" x14ac:dyDescent="0.25"/>
    <row r="94" ht="15.95" customHeight="1" x14ac:dyDescent="0.25"/>
    <row r="95" ht="15.95" customHeight="1" x14ac:dyDescent="0.25"/>
    <row r="96" ht="15.95" customHeight="1" x14ac:dyDescent="0.25"/>
    <row r="97" ht="15.95" customHeight="1" x14ac:dyDescent="0.25"/>
    <row r="98" ht="15.95" customHeight="1" x14ac:dyDescent="0.25"/>
    <row r="99" ht="15.95" customHeight="1" x14ac:dyDescent="0.25"/>
    <row r="100" ht="15.95" customHeight="1" x14ac:dyDescent="0.25"/>
    <row r="101" ht="15.95" customHeight="1" x14ac:dyDescent="0.25"/>
    <row r="102" ht="15.95" customHeight="1" x14ac:dyDescent="0.25"/>
    <row r="103" ht="15.95" customHeight="1" x14ac:dyDescent="0.25"/>
    <row r="104" ht="15.95" customHeight="1" x14ac:dyDescent="0.25"/>
    <row r="105" ht="15.95" customHeight="1" x14ac:dyDescent="0.25"/>
    <row r="106" ht="15.95" customHeight="1" x14ac:dyDescent="0.25"/>
    <row r="107" ht="15.95" customHeight="1" x14ac:dyDescent="0.25"/>
    <row r="108" ht="15.95" customHeight="1" x14ac:dyDescent="0.25"/>
    <row r="109" ht="15.95" customHeight="1" x14ac:dyDescent="0.25"/>
    <row r="110" ht="15.95" customHeight="1" x14ac:dyDescent="0.25"/>
    <row r="111" ht="15.95" customHeight="1" x14ac:dyDescent="0.25"/>
    <row r="112" ht="15.95" customHeight="1" x14ac:dyDescent="0.25"/>
    <row r="113" ht="15.95" customHeight="1" x14ac:dyDescent="0.25"/>
    <row r="114" ht="15.95" customHeight="1" x14ac:dyDescent="0.25"/>
    <row r="115" ht="15.95" customHeight="1" x14ac:dyDescent="0.25"/>
    <row r="116" ht="15.95" customHeight="1" x14ac:dyDescent="0.25"/>
    <row r="117" ht="15.95" customHeight="1" x14ac:dyDescent="0.25"/>
    <row r="118" ht="15.95" customHeight="1" x14ac:dyDescent="0.25"/>
    <row r="119" ht="15.95" customHeight="1" x14ac:dyDescent="0.25"/>
    <row r="120" ht="15.95" customHeight="1" x14ac:dyDescent="0.25"/>
    <row r="121" ht="15.95" customHeight="1" x14ac:dyDescent="0.25"/>
    <row r="122" ht="15.95" customHeight="1" x14ac:dyDescent="0.25"/>
    <row r="123" ht="15.95" customHeight="1" x14ac:dyDescent="0.25"/>
    <row r="124" ht="15.95" customHeight="1" x14ac:dyDescent="0.25"/>
    <row r="125" ht="15.95" customHeight="1" x14ac:dyDescent="0.25"/>
    <row r="126" ht="15.95" customHeight="1" x14ac:dyDescent="0.25"/>
    <row r="127" ht="15.95" customHeight="1" x14ac:dyDescent="0.25"/>
  </sheetData>
  <sheetProtection algorithmName="SHA-512" hashValue="OOqgohI4bf5pSl0/s1D2+3XLqhlfDx6ljMnnSeb52IqHIb/rYomHAjOo9pi6QQO1Q/47+6qBCc941MAv1XBH0Q==" saltValue="uX8OhRawQ9kMBcpifyJXrQ==" spinCount="100000" sheet="1" scenarios="1" selectLockedCells="1" selectUnlockedCells="1"/>
  <mergeCells count="71">
    <mergeCell ref="AP75:AR75"/>
    <mergeCell ref="AQ71:AR71"/>
    <mergeCell ref="AU71:AV71"/>
    <mergeCell ref="BV26:BW26"/>
    <mergeCell ref="BG29:BH29"/>
    <mergeCell ref="BK29:BL29"/>
    <mergeCell ref="BO29:BP29"/>
    <mergeCell ref="BS29:BT29"/>
    <mergeCell ref="BJ28:BL28"/>
    <mergeCell ref="BV28:BW28"/>
    <mergeCell ref="BJ26:BL26"/>
    <mergeCell ref="BN26:BP26"/>
    <mergeCell ref="BR26:BT26"/>
    <mergeCell ref="AX26:AZ26"/>
    <mergeCell ref="BB26:BD26"/>
    <mergeCell ref="BF26:BH26"/>
    <mergeCell ref="AP3:AR3"/>
    <mergeCell ref="AT3:AV3"/>
    <mergeCell ref="BY13:CA13"/>
    <mergeCell ref="BZ14:CA14"/>
    <mergeCell ref="BZ15:CA15"/>
    <mergeCell ref="BY5:CA5"/>
    <mergeCell ref="BZ6:CA6"/>
    <mergeCell ref="BZ7:CA7"/>
    <mergeCell ref="BV13:BW13"/>
    <mergeCell ref="AU5:AV5"/>
    <mergeCell ref="AU12:AV12"/>
    <mergeCell ref="BV5:BW5"/>
    <mergeCell ref="AU6:AV6"/>
    <mergeCell ref="AQ5:AR5"/>
    <mergeCell ref="AQ6:AR6"/>
    <mergeCell ref="AQ12:AR12"/>
    <mergeCell ref="AU34:AV34"/>
    <mergeCell ref="AT65:AV65"/>
    <mergeCell ref="AP65:AR65"/>
    <mergeCell ref="AU41:AV41"/>
    <mergeCell ref="AQ47:AR47"/>
    <mergeCell ref="AQ48:AR48"/>
    <mergeCell ref="AU61:AV61"/>
    <mergeCell ref="AQ61:AR61"/>
    <mergeCell ref="AQ54:AR54"/>
    <mergeCell ref="AQ55:AR55"/>
    <mergeCell ref="AU54:AV54"/>
    <mergeCell ref="AU55:AV55"/>
    <mergeCell ref="AU48:AV48"/>
    <mergeCell ref="AU40:AV40"/>
    <mergeCell ref="AU47:AV47"/>
    <mergeCell ref="BO30:BP30"/>
    <mergeCell ref="BS30:BT30"/>
    <mergeCell ref="BG30:BH30"/>
    <mergeCell ref="BK30:BL30"/>
    <mergeCell ref="BN28:BP28"/>
    <mergeCell ref="BR28:BT28"/>
    <mergeCell ref="BF28:BH28"/>
    <mergeCell ref="AU13:AV13"/>
    <mergeCell ref="AU19:AV19"/>
    <mergeCell ref="AU26:AV26"/>
    <mergeCell ref="AU33:AV33"/>
    <mergeCell ref="AU20:AV20"/>
    <mergeCell ref="AU27:AV27"/>
    <mergeCell ref="AT25:AV25"/>
    <mergeCell ref="AQ27:AR27"/>
    <mergeCell ref="AQ40:AR40"/>
    <mergeCell ref="AQ41:AR41"/>
    <mergeCell ref="AQ13:AR13"/>
    <mergeCell ref="AQ19:AR19"/>
    <mergeCell ref="AQ20:AR20"/>
    <mergeCell ref="AQ26:AR26"/>
    <mergeCell ref="AP25:AR25"/>
    <mergeCell ref="AQ33:AR33"/>
    <mergeCell ref="AQ34:AR34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7"/>
  <dimension ref="A1:BP364"/>
  <sheetViews>
    <sheetView showGridLines="0" showRowColHeaders="0" zoomScaleNormal="100" workbookViewId="0">
      <selection activeCell="I13" sqref="I13:I14"/>
    </sheetView>
  </sheetViews>
  <sheetFormatPr defaultRowHeight="15" x14ac:dyDescent="0.25"/>
  <cols>
    <col min="1" max="1" width="2.7109375" customWidth="1"/>
    <col min="2" max="2" width="5.7109375" customWidth="1"/>
    <col min="3" max="3" width="22.7109375" customWidth="1"/>
    <col min="4" max="5" width="2.7109375" customWidth="1"/>
    <col min="6" max="6" width="6.7109375" customWidth="1"/>
    <col min="7" max="7" width="26.7109375" customWidth="1"/>
    <col min="8" max="9" width="9.7109375" customWidth="1"/>
    <col min="10" max="10" width="3.7109375" customWidth="1"/>
    <col min="11" max="11" width="0.28515625" customWidth="1"/>
    <col min="12" max="12" width="3.7109375" customWidth="1"/>
    <col min="13" max="13" width="5.7109375" customWidth="1"/>
    <col min="14" max="14" width="22.7109375" customWidth="1"/>
    <col min="15" max="16" width="2.7109375" customWidth="1"/>
    <col min="17" max="17" width="6.7109375" customWidth="1"/>
    <col min="18" max="18" width="26.7109375" customWidth="1"/>
    <col min="19" max="20" width="9.7109375" customWidth="1"/>
    <col min="21" max="21" width="15.7109375" customWidth="1"/>
    <col min="22" max="40" width="9.140625" customWidth="1"/>
    <col min="44" max="44" width="3.7109375" customWidth="1"/>
    <col min="45" max="46" width="9.140625" customWidth="1"/>
    <col min="49" max="49" width="3.7109375" customWidth="1"/>
    <col min="50" max="50" width="9.140625" customWidth="1"/>
  </cols>
  <sheetData>
    <row r="1" spans="1:68" s="83" customFormat="1" ht="24.95" customHeight="1" x14ac:dyDescent="0.25">
      <c r="B1" s="88" t="s">
        <v>70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</row>
    <row r="2" spans="1:68" ht="15.95" customHeight="1" x14ac:dyDescent="0.25">
      <c r="A2" s="15"/>
      <c r="B2" s="66"/>
      <c r="C2" s="66"/>
      <c r="D2" s="66"/>
      <c r="E2" s="66"/>
      <c r="F2" s="66"/>
      <c r="G2" s="66"/>
      <c r="H2" s="67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</row>
    <row r="3" spans="1:68" ht="15.95" customHeight="1" x14ac:dyDescent="0.25">
      <c r="B3" s="307" t="s">
        <v>14</v>
      </c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15"/>
      <c r="AN3" s="356" t="s">
        <v>71</v>
      </c>
      <c r="AO3" s="356"/>
      <c r="AP3" s="356"/>
      <c r="AQ3" s="356"/>
      <c r="AR3" s="17"/>
      <c r="AS3" s="356" t="s">
        <v>72</v>
      </c>
      <c r="AT3" s="356"/>
      <c r="AU3" s="356"/>
      <c r="AV3" s="356"/>
      <c r="AW3" s="17"/>
      <c r="AX3" s="356" t="s">
        <v>202</v>
      </c>
      <c r="AY3" s="356"/>
      <c r="AZ3" s="356"/>
    </row>
    <row r="4" spans="1:68" ht="15.95" customHeight="1" x14ac:dyDescent="0.25">
      <c r="B4" s="380" t="s">
        <v>273</v>
      </c>
      <c r="C4" s="381"/>
      <c r="D4" s="381"/>
      <c r="E4" s="381"/>
      <c r="F4" s="381"/>
      <c r="G4" s="381"/>
      <c r="H4" s="381"/>
      <c r="I4" s="381"/>
      <c r="J4" s="381"/>
      <c r="K4" s="381"/>
      <c r="L4" s="381"/>
      <c r="M4" s="381"/>
      <c r="N4" s="381"/>
      <c r="O4" s="381"/>
      <c r="P4" s="381"/>
      <c r="Q4" s="382"/>
      <c r="R4" s="377"/>
      <c r="S4" s="309"/>
      <c r="T4" s="310"/>
      <c r="U4" s="15"/>
      <c r="AN4" s="108" t="s">
        <v>205</v>
      </c>
      <c r="AO4" s="108" t="s">
        <v>204</v>
      </c>
      <c r="AP4" s="108" t="s">
        <v>73</v>
      </c>
      <c r="AQ4" s="108" t="s">
        <v>74</v>
      </c>
      <c r="AR4" s="17"/>
      <c r="AS4" s="108" t="s">
        <v>205</v>
      </c>
      <c r="AT4" s="108" t="s">
        <v>204</v>
      </c>
      <c r="AU4" s="108" t="s">
        <v>73</v>
      </c>
      <c r="AV4" s="108" t="s">
        <v>74</v>
      </c>
      <c r="AW4" s="17"/>
      <c r="AX4" s="376" t="s">
        <v>75</v>
      </c>
      <c r="AY4" s="376"/>
      <c r="AZ4" s="18">
        <f>Dimensionamento!T18/2</f>
        <v>0.62023620245825406</v>
      </c>
    </row>
    <row r="5" spans="1:68" ht="15.95" customHeight="1" x14ac:dyDescent="0.25">
      <c r="B5" s="383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384"/>
      <c r="Q5" s="385"/>
      <c r="R5" s="378"/>
      <c r="S5" s="311"/>
      <c r="T5" s="312"/>
      <c r="U5" s="15"/>
      <c r="AN5" s="8">
        <v>0</v>
      </c>
      <c r="AO5" s="18">
        <f>Dimensionamento!$T$18/2</f>
        <v>0.62023620245825406</v>
      </c>
      <c r="AP5" s="8">
        <f t="shared" ref="AP5:AP36" si="0">AO5*COS(RADIANS(AN5))</f>
        <v>0.62023620245825406</v>
      </c>
      <c r="AQ5" s="8">
        <f t="shared" ref="AQ5:AQ36" si="1">AO5*SIN(RADIANS(AN5))</f>
        <v>0</v>
      </c>
      <c r="AR5" s="17"/>
      <c r="AS5" s="8">
        <v>0</v>
      </c>
      <c r="AT5" s="18">
        <f t="shared" ref="AT5:AT36" si="2">$I$15/2</f>
        <v>2.4809448098330161E-2</v>
      </c>
      <c r="AU5" s="8">
        <f>AT5*COS(RADIANS(AS5))</f>
        <v>2.4809448098330161E-2</v>
      </c>
      <c r="AV5" s="8">
        <f>AT5*SIN(RADIANS(AS5))</f>
        <v>0</v>
      </c>
      <c r="AW5" s="17"/>
      <c r="AX5" s="376" t="s">
        <v>76</v>
      </c>
      <c r="AY5" s="376"/>
      <c r="AZ5" s="8">
        <f>AZ4/5</f>
        <v>0.12404724049165081</v>
      </c>
    </row>
    <row r="6" spans="1:68" ht="15.95" customHeight="1" x14ac:dyDescent="0.25">
      <c r="B6" s="386"/>
      <c r="C6" s="387"/>
      <c r="D6" s="387"/>
      <c r="E6" s="387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8"/>
      <c r="R6" s="379"/>
      <c r="S6" s="313"/>
      <c r="T6" s="314"/>
      <c r="U6" s="15"/>
      <c r="AN6" s="8">
        <v>5</v>
      </c>
      <c r="AO6" s="18">
        <f>Dimensionamento!$T$18/2</f>
        <v>0.62023620245825406</v>
      </c>
      <c r="AP6" s="8">
        <f t="shared" si="0"/>
        <v>0.61787601645347112</v>
      </c>
      <c r="AQ6" s="8">
        <f t="shared" si="1"/>
        <v>5.405714690423602E-2</v>
      </c>
      <c r="AR6" s="17"/>
      <c r="AS6" s="8">
        <v>5</v>
      </c>
      <c r="AT6" s="18">
        <f t="shared" si="2"/>
        <v>2.4809448098330161E-2</v>
      </c>
      <c r="AU6" s="8">
        <f t="shared" ref="AU6:AU69" si="3">AT6*COS(RADIANS(AS6))</f>
        <v>2.4715040658138846E-2</v>
      </c>
      <c r="AV6" s="8">
        <f t="shared" ref="AV6:AV69" si="4">AT6*SIN(RADIANS(AS6))</f>
        <v>2.1622858761694407E-3</v>
      </c>
      <c r="AW6" s="17"/>
      <c r="AX6" s="108" t="s">
        <v>24</v>
      </c>
      <c r="AY6" s="108" t="s">
        <v>73</v>
      </c>
      <c r="AZ6" s="108" t="s">
        <v>74</v>
      </c>
    </row>
    <row r="7" spans="1:68" ht="15.95" customHeight="1" x14ac:dyDescent="0.25">
      <c r="B7" s="34"/>
      <c r="C7" s="34"/>
      <c r="D7" s="34"/>
      <c r="E7" s="34"/>
      <c r="F7" s="34"/>
      <c r="G7" s="34"/>
      <c r="H7" s="34"/>
      <c r="I7" s="34"/>
      <c r="J7" s="34"/>
      <c r="K7" s="38"/>
      <c r="L7" s="38"/>
      <c r="M7" s="38"/>
      <c r="U7" s="15"/>
      <c r="AN7" s="8">
        <v>10</v>
      </c>
      <c r="AO7" s="18">
        <f>Dimensionamento!$T$18/2</f>
        <v>0.62023620245825406</v>
      </c>
      <c r="AP7" s="8">
        <f t="shared" si="0"/>
        <v>0.61081342087973811</v>
      </c>
      <c r="AQ7" s="8">
        <f t="shared" si="1"/>
        <v>0.10770288627993307</v>
      </c>
      <c r="AR7" s="17"/>
      <c r="AS7" s="8">
        <v>10</v>
      </c>
      <c r="AT7" s="18">
        <f t="shared" si="2"/>
        <v>2.4809448098330161E-2</v>
      </c>
      <c r="AU7" s="8">
        <f t="shared" si="3"/>
        <v>2.4432536835189523E-2</v>
      </c>
      <c r="AV7" s="8">
        <f t="shared" si="4"/>
        <v>4.3081154511973229E-3</v>
      </c>
      <c r="AW7" s="17"/>
      <c r="AX7" s="8">
        <v>1</v>
      </c>
      <c r="AY7" s="8">
        <v>0</v>
      </c>
      <c r="AZ7" s="8">
        <v>0</v>
      </c>
    </row>
    <row r="8" spans="1:68" ht="15.95" customHeight="1" x14ac:dyDescent="0.25">
      <c r="B8" s="33"/>
      <c r="C8" s="33"/>
      <c r="D8" s="33"/>
      <c r="E8" s="33"/>
      <c r="F8" s="33"/>
      <c r="G8" s="33"/>
      <c r="H8" s="33"/>
      <c r="I8" s="33"/>
      <c r="J8" s="33"/>
      <c r="K8" s="39"/>
      <c r="L8" s="39"/>
      <c r="M8" s="39"/>
      <c r="U8" s="15"/>
      <c r="AN8" s="8">
        <v>15</v>
      </c>
      <c r="AO8" s="18">
        <f>Dimensionamento!$T$18/2</f>
        <v>0.62023620245825406</v>
      </c>
      <c r="AP8" s="8">
        <f t="shared" si="0"/>
        <v>0.59910216635388291</v>
      </c>
      <c r="AQ8" s="8">
        <f t="shared" si="1"/>
        <v>0.16052894165825904</v>
      </c>
      <c r="AR8" s="17"/>
      <c r="AS8" s="8">
        <v>15</v>
      </c>
      <c r="AT8" s="18">
        <f t="shared" si="2"/>
        <v>2.4809448098330161E-2</v>
      </c>
      <c r="AU8" s="8">
        <f t="shared" si="3"/>
        <v>2.3964086654155316E-2</v>
      </c>
      <c r="AV8" s="8">
        <f t="shared" si="4"/>
        <v>6.4211576663303618E-3</v>
      </c>
      <c r="AW8" s="17"/>
      <c r="AX8" s="8">
        <v>2</v>
      </c>
      <c r="AY8" s="8">
        <f>AY7+$AZ$5</f>
        <v>0.12404724049165081</v>
      </c>
      <c r="AZ8" s="8">
        <v>0</v>
      </c>
    </row>
    <row r="9" spans="1:68" ht="15.95" customHeight="1" x14ac:dyDescent="0.25">
      <c r="B9" s="248" t="s">
        <v>18</v>
      </c>
      <c r="C9" s="248"/>
      <c r="D9" s="248"/>
      <c r="E9" s="248"/>
      <c r="F9" s="248"/>
      <c r="G9" s="248"/>
      <c r="H9" s="248"/>
      <c r="I9" s="248"/>
      <c r="J9" s="94"/>
      <c r="K9" s="28"/>
      <c r="L9" s="94"/>
      <c r="M9" s="306" t="s">
        <v>19</v>
      </c>
      <c r="N9" s="306"/>
      <c r="O9" s="306"/>
      <c r="P9" s="306"/>
      <c r="Q9" s="306"/>
      <c r="R9" s="306"/>
      <c r="S9" s="306"/>
      <c r="T9" s="306"/>
      <c r="U9" s="15"/>
      <c r="AN9" s="8">
        <v>20</v>
      </c>
      <c r="AO9" s="18">
        <f>Dimensionamento!$T$18/2</f>
        <v>0.62023620245825406</v>
      </c>
      <c r="AP9" s="8">
        <f t="shared" si="0"/>
        <v>0.58283138259429601</v>
      </c>
      <c r="AQ9" s="8">
        <f t="shared" si="1"/>
        <v>0.21213327486054054</v>
      </c>
      <c r="AR9" s="17"/>
      <c r="AS9" s="8">
        <v>20</v>
      </c>
      <c r="AT9" s="18">
        <f t="shared" si="2"/>
        <v>2.4809448098330161E-2</v>
      </c>
      <c r="AU9" s="8">
        <f t="shared" si="3"/>
        <v>2.3313255303771842E-2</v>
      </c>
      <c r="AV9" s="8">
        <f t="shared" si="4"/>
        <v>8.4853309944216207E-3</v>
      </c>
      <c r="AW9" s="17"/>
      <c r="AX9" s="8">
        <v>3</v>
      </c>
      <c r="AY9" s="8">
        <f t="shared" ref="AY9:AY12" si="5">AY8+$AZ$5</f>
        <v>0.24809448098330161</v>
      </c>
      <c r="AZ9" s="8">
        <v>0</v>
      </c>
    </row>
    <row r="10" spans="1:68" ht="15.95" customHeight="1" x14ac:dyDescent="0.25">
      <c r="B10" s="66"/>
      <c r="C10" s="66"/>
      <c r="D10" s="66"/>
      <c r="E10" s="66"/>
      <c r="F10" s="66"/>
      <c r="G10" s="66"/>
      <c r="H10" s="67"/>
      <c r="I10" s="15"/>
      <c r="J10" s="15"/>
      <c r="K10" s="28"/>
      <c r="L10" s="15"/>
      <c r="M10" s="15"/>
      <c r="N10" s="15"/>
      <c r="O10" s="15"/>
      <c r="P10" s="15"/>
      <c r="Q10" s="15"/>
      <c r="R10" s="15"/>
      <c r="S10" s="15"/>
      <c r="T10" s="15"/>
      <c r="U10" s="15"/>
      <c r="AN10" s="8">
        <v>25</v>
      </c>
      <c r="AO10" s="18">
        <f>Dimensionamento!$T$18/2</f>
        <v>0.62023620245825406</v>
      </c>
      <c r="AP10" s="8">
        <f t="shared" si="0"/>
        <v>0.56212490008995586</v>
      </c>
      <c r="AQ10" s="8">
        <f t="shared" si="1"/>
        <v>0.26212314575155987</v>
      </c>
      <c r="AR10" s="17"/>
      <c r="AS10" s="8">
        <v>25</v>
      </c>
      <c r="AT10" s="18">
        <f t="shared" si="2"/>
        <v>2.4809448098330161E-2</v>
      </c>
      <c r="AU10" s="8">
        <f t="shared" si="3"/>
        <v>2.2484996003598233E-2</v>
      </c>
      <c r="AV10" s="8">
        <f t="shared" si="4"/>
        <v>1.0484925830062395E-2</v>
      </c>
      <c r="AW10" s="17"/>
      <c r="AX10" s="8">
        <v>4</v>
      </c>
      <c r="AY10" s="8">
        <f t="shared" si="5"/>
        <v>0.37214172147495239</v>
      </c>
      <c r="AZ10" s="8">
        <v>0</v>
      </c>
    </row>
    <row r="11" spans="1:68" ht="15.95" customHeight="1" x14ac:dyDescent="0.25">
      <c r="B11" s="301" t="s">
        <v>77</v>
      </c>
      <c r="C11" s="255" t="s">
        <v>163</v>
      </c>
      <c r="D11" s="255"/>
      <c r="E11" s="255"/>
      <c r="F11" s="255"/>
      <c r="G11" s="255"/>
      <c r="H11" s="255"/>
      <c r="I11" s="255"/>
      <c r="K11" s="28"/>
      <c r="AN11" s="8">
        <v>30</v>
      </c>
      <c r="AO11" s="18">
        <f>Dimensionamento!$T$18/2</f>
        <v>0.62023620245825406</v>
      </c>
      <c r="AP11" s="8">
        <f t="shared" si="0"/>
        <v>0.53714030767563636</v>
      </c>
      <c r="AQ11" s="8">
        <f t="shared" si="1"/>
        <v>0.31011810122912697</v>
      </c>
      <c r="AR11" s="17"/>
      <c r="AS11" s="8">
        <v>30</v>
      </c>
      <c r="AT11" s="18">
        <f t="shared" si="2"/>
        <v>2.4809448098330161E-2</v>
      </c>
      <c r="AU11" s="8">
        <f t="shared" si="3"/>
        <v>2.1485612307025451E-2</v>
      </c>
      <c r="AV11" s="8">
        <f t="shared" si="4"/>
        <v>1.2404724049165079E-2</v>
      </c>
      <c r="AW11" s="17"/>
      <c r="AX11" s="8">
        <v>5</v>
      </c>
      <c r="AY11" s="8">
        <f t="shared" si="5"/>
        <v>0.49618896196660323</v>
      </c>
      <c r="AZ11" s="8">
        <v>0</v>
      </c>
    </row>
    <row r="12" spans="1:68" ht="15.95" customHeight="1" x14ac:dyDescent="0.25">
      <c r="B12" s="302"/>
      <c r="C12" s="259" t="s">
        <v>33</v>
      </c>
      <c r="D12" s="260"/>
      <c r="E12" s="260"/>
      <c r="F12" s="260"/>
      <c r="G12" s="261"/>
      <c r="H12" s="85" t="s">
        <v>34</v>
      </c>
      <c r="I12" s="85" t="s">
        <v>35</v>
      </c>
      <c r="K12" s="28"/>
      <c r="AN12" s="8">
        <v>35</v>
      </c>
      <c r="AO12" s="18">
        <f>Dimensionamento!$T$18/2</f>
        <v>0.62023620245825406</v>
      </c>
      <c r="AP12" s="8">
        <f t="shared" si="0"/>
        <v>0.50806775318571984</v>
      </c>
      <c r="AQ12" s="8">
        <f t="shared" si="1"/>
        <v>0.35575287070191125</v>
      </c>
      <c r="AR12" s="17"/>
      <c r="AS12" s="8">
        <v>35</v>
      </c>
      <c r="AT12" s="18">
        <f t="shared" si="2"/>
        <v>2.4809448098330161E-2</v>
      </c>
      <c r="AU12" s="8">
        <f t="shared" si="3"/>
        <v>2.0322710127428791E-2</v>
      </c>
      <c r="AV12" s="8">
        <f t="shared" si="4"/>
        <v>1.423011482807645E-2</v>
      </c>
      <c r="AW12" s="17"/>
      <c r="AX12" s="8">
        <v>6</v>
      </c>
      <c r="AY12" s="8">
        <f t="shared" si="5"/>
        <v>0.62023620245825406</v>
      </c>
      <c r="AZ12" s="8">
        <v>0</v>
      </c>
    </row>
    <row r="13" spans="1:68" ht="15.95" customHeight="1" x14ac:dyDescent="0.25">
      <c r="B13" s="302"/>
      <c r="C13" s="373" t="s">
        <v>164</v>
      </c>
      <c r="D13" s="374"/>
      <c r="E13" s="374"/>
      <c r="F13" s="374"/>
      <c r="G13" s="375"/>
      <c r="H13" s="368" t="s">
        <v>78</v>
      </c>
      <c r="I13" s="264">
        <v>4</v>
      </c>
      <c r="K13" s="28"/>
      <c r="AN13" s="8">
        <v>40</v>
      </c>
      <c r="AO13" s="18">
        <f>Dimensionamento!$T$18/2</f>
        <v>0.62023620245825406</v>
      </c>
      <c r="AP13" s="8">
        <f t="shared" si="0"/>
        <v>0.47512849631436294</v>
      </c>
      <c r="AQ13" s="8">
        <f t="shared" si="1"/>
        <v>0.39868014601919755</v>
      </c>
      <c r="AR13" s="17"/>
      <c r="AS13" s="8">
        <v>40</v>
      </c>
      <c r="AT13" s="18">
        <f t="shared" si="2"/>
        <v>2.4809448098330161E-2</v>
      </c>
      <c r="AU13" s="8">
        <f t="shared" si="3"/>
        <v>1.9005139852574515E-2</v>
      </c>
      <c r="AV13" s="8">
        <f t="shared" si="4"/>
        <v>1.5947205840767902E-2</v>
      </c>
      <c r="AW13" s="17"/>
      <c r="AX13" s="7"/>
      <c r="AY13" s="7"/>
      <c r="AZ13" s="7"/>
    </row>
    <row r="14" spans="1:68" ht="15.95" customHeight="1" x14ac:dyDescent="0.25">
      <c r="B14" s="302"/>
      <c r="C14" s="370" t="s">
        <v>168</v>
      </c>
      <c r="D14" s="371"/>
      <c r="E14" s="371"/>
      <c r="F14" s="371"/>
      <c r="G14" s="372"/>
      <c r="H14" s="369"/>
      <c r="I14" s="265"/>
      <c r="K14" s="28"/>
      <c r="AN14" s="8">
        <v>45</v>
      </c>
      <c r="AO14" s="18">
        <f>Dimensionamento!$T$18/2</f>
        <v>0.62023620245825406</v>
      </c>
      <c r="AP14" s="8">
        <f t="shared" si="0"/>
        <v>0.43857322469562388</v>
      </c>
      <c r="AQ14" s="8">
        <f t="shared" si="1"/>
        <v>0.43857322469562382</v>
      </c>
      <c r="AR14" s="17"/>
      <c r="AS14" s="8">
        <v>45</v>
      </c>
      <c r="AT14" s="18">
        <f t="shared" si="2"/>
        <v>2.4809448098330161E-2</v>
      </c>
      <c r="AU14" s="8">
        <f t="shared" si="3"/>
        <v>1.7542928987824953E-2</v>
      </c>
      <c r="AV14" s="8">
        <f t="shared" si="4"/>
        <v>1.7542928987824953E-2</v>
      </c>
      <c r="AW14" s="17"/>
      <c r="AX14" s="356" t="s">
        <v>203</v>
      </c>
      <c r="AY14" s="356"/>
      <c r="AZ14" s="356"/>
    </row>
    <row r="15" spans="1:68" ht="15.95" customHeight="1" x14ac:dyDescent="0.25">
      <c r="B15" s="302"/>
      <c r="C15" s="252" t="s">
        <v>165</v>
      </c>
      <c r="D15" s="253"/>
      <c r="E15" s="253"/>
      <c r="F15" s="253"/>
      <c r="G15" s="254"/>
      <c r="H15" s="70" t="s">
        <v>42</v>
      </c>
      <c r="I15" s="92">
        <f>Dimensionamento!T18*(I13/100)</f>
        <v>4.9618896196660323E-2</v>
      </c>
      <c r="K15" s="28"/>
      <c r="AN15" s="8">
        <v>50</v>
      </c>
      <c r="AO15" s="18">
        <f>Dimensionamento!$T$18/2</f>
        <v>0.62023620245825406</v>
      </c>
      <c r="AP15" s="8">
        <f t="shared" si="0"/>
        <v>0.3986801460191976</v>
      </c>
      <c r="AQ15" s="8">
        <f t="shared" si="1"/>
        <v>0.47512849631436294</v>
      </c>
      <c r="AR15" s="17"/>
      <c r="AS15" s="8">
        <v>50</v>
      </c>
      <c r="AT15" s="18">
        <f t="shared" si="2"/>
        <v>2.4809448098330161E-2</v>
      </c>
      <c r="AU15" s="8">
        <f t="shared" si="3"/>
        <v>1.5947205840767902E-2</v>
      </c>
      <c r="AV15" s="8">
        <f t="shared" si="4"/>
        <v>1.9005139852574515E-2</v>
      </c>
      <c r="AW15" s="17"/>
      <c r="AX15" s="376" t="s">
        <v>79</v>
      </c>
      <c r="AY15" s="376"/>
      <c r="AZ15" s="18">
        <f>I15/2</f>
        <v>2.4809448098330161E-2</v>
      </c>
    </row>
    <row r="16" spans="1:68" ht="15.95" customHeight="1" x14ac:dyDescent="0.25">
      <c r="B16" s="302"/>
      <c r="C16" s="252" t="s">
        <v>166</v>
      </c>
      <c r="D16" s="253"/>
      <c r="E16" s="253"/>
      <c r="F16" s="253"/>
      <c r="G16" s="254"/>
      <c r="H16" s="70" t="s">
        <v>38</v>
      </c>
      <c r="I16" s="71">
        <f>(PI()*I15^2)/4</f>
        <v>1.9336776570877416E-3</v>
      </c>
      <c r="K16" s="28"/>
      <c r="AN16" s="8">
        <v>55</v>
      </c>
      <c r="AO16" s="18">
        <f>Dimensionamento!$T$18/2</f>
        <v>0.62023620245825406</v>
      </c>
      <c r="AP16" s="8">
        <f t="shared" si="0"/>
        <v>0.35575287070191136</v>
      </c>
      <c r="AQ16" s="8">
        <f t="shared" si="1"/>
        <v>0.50806775318571984</v>
      </c>
      <c r="AR16" s="17"/>
      <c r="AS16" s="8">
        <v>55</v>
      </c>
      <c r="AT16" s="18">
        <f t="shared" si="2"/>
        <v>2.4809448098330161E-2</v>
      </c>
      <c r="AU16" s="8">
        <f t="shared" si="3"/>
        <v>1.4230114828076453E-2</v>
      </c>
      <c r="AV16" s="8">
        <f t="shared" si="4"/>
        <v>2.0322710127428791E-2</v>
      </c>
      <c r="AW16" s="17"/>
      <c r="AX16" s="376" t="s">
        <v>76</v>
      </c>
      <c r="AY16" s="376"/>
      <c r="AZ16" s="8">
        <f>AZ15/4</f>
        <v>6.2023620245825403E-3</v>
      </c>
    </row>
    <row r="17" spans="2:52" ht="15.95" customHeight="1" x14ac:dyDescent="0.25">
      <c r="B17" s="20"/>
      <c r="H17" s="42"/>
      <c r="I17" s="69"/>
      <c r="K17" s="28"/>
      <c r="AN17" s="8">
        <v>60</v>
      </c>
      <c r="AO17" s="18">
        <f>Dimensionamento!$T$18/2</f>
        <v>0.62023620245825406</v>
      </c>
      <c r="AP17" s="8">
        <f t="shared" si="0"/>
        <v>0.31011810122912709</v>
      </c>
      <c r="AQ17" s="8">
        <f t="shared" si="1"/>
        <v>0.53714030767563625</v>
      </c>
      <c r="AR17" s="17"/>
      <c r="AS17" s="8">
        <v>60</v>
      </c>
      <c r="AT17" s="18">
        <f t="shared" si="2"/>
        <v>2.4809448098330161E-2</v>
      </c>
      <c r="AU17" s="8">
        <f t="shared" si="3"/>
        <v>1.2404724049165084E-2</v>
      </c>
      <c r="AV17" s="8">
        <f t="shared" si="4"/>
        <v>2.1485612307025451E-2</v>
      </c>
      <c r="AW17" s="17"/>
      <c r="AX17" s="108" t="s">
        <v>24</v>
      </c>
      <c r="AY17" s="108" t="s">
        <v>73</v>
      </c>
      <c r="AZ17" s="108" t="s">
        <v>74</v>
      </c>
    </row>
    <row r="18" spans="2:52" ht="15.95" customHeight="1" x14ac:dyDescent="0.25">
      <c r="B18" s="20"/>
      <c r="I18" s="95"/>
      <c r="K18" s="28"/>
      <c r="AN18" s="8">
        <v>70</v>
      </c>
      <c r="AO18" s="18">
        <f>Dimensionamento!$T$18/2</f>
        <v>0.62023620245825406</v>
      </c>
      <c r="AP18" s="8">
        <f t="shared" si="0"/>
        <v>0.21213327486054059</v>
      </c>
      <c r="AQ18" s="8">
        <f t="shared" si="1"/>
        <v>0.58283138259429601</v>
      </c>
      <c r="AR18" s="17"/>
      <c r="AS18" s="8">
        <v>70</v>
      </c>
      <c r="AT18" s="18">
        <f t="shared" si="2"/>
        <v>2.4809448098330161E-2</v>
      </c>
      <c r="AU18" s="8">
        <f t="shared" si="3"/>
        <v>8.4853309944216242E-3</v>
      </c>
      <c r="AV18" s="8">
        <f t="shared" si="4"/>
        <v>2.3313255303771839E-2</v>
      </c>
      <c r="AW18" s="17"/>
      <c r="AX18" s="8">
        <v>2</v>
      </c>
      <c r="AY18" s="8">
        <v>0</v>
      </c>
      <c r="AZ18" s="8">
        <v>0</v>
      </c>
    </row>
    <row r="19" spans="2:52" ht="15.95" customHeight="1" x14ac:dyDescent="0.25">
      <c r="B19" s="20"/>
      <c r="I19" s="95"/>
      <c r="K19" s="28"/>
      <c r="AN19" s="8">
        <v>75</v>
      </c>
      <c r="AO19" s="18">
        <f>Dimensionamento!$T$18/2</f>
        <v>0.62023620245825406</v>
      </c>
      <c r="AP19" s="8">
        <f t="shared" si="0"/>
        <v>0.16052894165825904</v>
      </c>
      <c r="AQ19" s="8">
        <f t="shared" si="1"/>
        <v>0.59910216635388291</v>
      </c>
      <c r="AR19" s="17"/>
      <c r="AS19" s="8">
        <v>75</v>
      </c>
      <c r="AT19" s="18">
        <f t="shared" si="2"/>
        <v>2.4809448098330161E-2</v>
      </c>
      <c r="AU19" s="8">
        <f t="shared" si="3"/>
        <v>6.4211576663303618E-3</v>
      </c>
      <c r="AV19" s="8">
        <f t="shared" si="4"/>
        <v>2.3964086654155316E-2</v>
      </c>
      <c r="AW19" s="17"/>
      <c r="AX19" s="8">
        <v>3</v>
      </c>
      <c r="AY19" s="8">
        <f>AY18-$AZ$16</f>
        <v>-6.2023620245825403E-3</v>
      </c>
      <c r="AZ19" s="8">
        <v>0</v>
      </c>
    </row>
    <row r="20" spans="2:52" ht="15.95" customHeight="1" x14ac:dyDescent="0.25">
      <c r="B20" s="20"/>
      <c r="C20" s="68"/>
      <c r="D20" s="68"/>
      <c r="E20" s="68"/>
      <c r="F20" s="68"/>
      <c r="G20" s="68"/>
      <c r="H20" s="42"/>
      <c r="I20" s="69"/>
      <c r="K20" s="28"/>
      <c r="AN20" s="8">
        <v>80</v>
      </c>
      <c r="AO20" s="18">
        <f>Dimensionamento!$T$18/2</f>
        <v>0.62023620245825406</v>
      </c>
      <c r="AP20" s="8">
        <f t="shared" si="0"/>
        <v>0.10770288627993313</v>
      </c>
      <c r="AQ20" s="8">
        <f t="shared" si="1"/>
        <v>0.61081342087973811</v>
      </c>
      <c r="AR20" s="17"/>
      <c r="AS20" s="8">
        <v>80</v>
      </c>
      <c r="AT20" s="18">
        <f t="shared" si="2"/>
        <v>2.4809448098330161E-2</v>
      </c>
      <c r="AU20" s="8">
        <f t="shared" si="3"/>
        <v>4.3081154511973247E-3</v>
      </c>
      <c r="AV20" s="8">
        <f t="shared" si="4"/>
        <v>2.4432536835189523E-2</v>
      </c>
      <c r="AW20" s="17"/>
      <c r="AX20" s="8">
        <v>4</v>
      </c>
      <c r="AY20" s="8">
        <f>AY19-$AZ$16</f>
        <v>-1.2404724049165081E-2</v>
      </c>
      <c r="AZ20" s="8">
        <v>0</v>
      </c>
    </row>
    <row r="21" spans="2:52" ht="15.95" customHeight="1" x14ac:dyDescent="0.25">
      <c r="B21" s="20"/>
      <c r="C21" s="68"/>
      <c r="D21" s="68"/>
      <c r="E21" s="68"/>
      <c r="F21" s="68"/>
      <c r="G21" s="68"/>
      <c r="H21" s="42"/>
      <c r="I21" s="69"/>
      <c r="K21" s="28"/>
      <c r="AN21" s="8">
        <v>85</v>
      </c>
      <c r="AO21" s="18">
        <f>Dimensionamento!$T$18/2</f>
        <v>0.62023620245825406</v>
      </c>
      <c r="AP21" s="8">
        <f t="shared" si="0"/>
        <v>5.4057146904235999E-2</v>
      </c>
      <c r="AQ21" s="8">
        <f t="shared" si="1"/>
        <v>0.61787601645347112</v>
      </c>
      <c r="AR21" s="17"/>
      <c r="AS21" s="8">
        <v>85</v>
      </c>
      <c r="AT21" s="18">
        <f t="shared" si="2"/>
        <v>2.4809448098330161E-2</v>
      </c>
      <c r="AU21" s="8">
        <f t="shared" si="3"/>
        <v>2.1622858761694399E-3</v>
      </c>
      <c r="AV21" s="8">
        <f t="shared" si="4"/>
        <v>2.4715040658138846E-2</v>
      </c>
      <c r="AW21" s="17"/>
      <c r="AX21" s="8">
        <v>5</v>
      </c>
      <c r="AY21" s="8">
        <f>AY20-$AZ$16</f>
        <v>-1.8607086073747621E-2</v>
      </c>
      <c r="AZ21" s="8">
        <v>0</v>
      </c>
    </row>
    <row r="22" spans="2:52" ht="15.95" customHeight="1" x14ac:dyDescent="0.25">
      <c r="B22" s="20"/>
      <c r="C22" s="68"/>
      <c r="D22" s="68"/>
      <c r="E22" s="68"/>
      <c r="F22" s="68"/>
      <c r="G22" s="68"/>
      <c r="H22" s="42"/>
      <c r="I22" s="69"/>
      <c r="K22" s="28"/>
      <c r="AN22" s="8">
        <v>90</v>
      </c>
      <c r="AO22" s="18">
        <f>Dimensionamento!$T$18/2</f>
        <v>0.62023620245825406</v>
      </c>
      <c r="AP22" s="8">
        <f t="shared" si="0"/>
        <v>3.7994071256006001E-17</v>
      </c>
      <c r="AQ22" s="8">
        <f t="shared" si="1"/>
        <v>0.62023620245825406</v>
      </c>
      <c r="AR22" s="17"/>
      <c r="AS22" s="8">
        <v>90</v>
      </c>
      <c r="AT22" s="18">
        <f t="shared" si="2"/>
        <v>2.4809448098330161E-2</v>
      </c>
      <c r="AU22" s="8">
        <f t="shared" si="3"/>
        <v>1.5197628502402398E-18</v>
      </c>
      <c r="AV22" s="8">
        <f t="shared" si="4"/>
        <v>2.4809448098330161E-2</v>
      </c>
      <c r="AW22" s="17"/>
      <c r="AX22" s="8">
        <v>6</v>
      </c>
      <c r="AY22" s="8">
        <f>AY21-$AZ$16</f>
        <v>-2.4809448098330161E-2</v>
      </c>
      <c r="AZ22" s="8">
        <v>0</v>
      </c>
    </row>
    <row r="23" spans="2:52" ht="15.95" customHeight="1" x14ac:dyDescent="0.25">
      <c r="B23" s="20"/>
      <c r="C23" s="68"/>
      <c r="D23" s="68"/>
      <c r="E23" s="68"/>
      <c r="F23" s="68"/>
      <c r="G23" s="68"/>
      <c r="H23" s="42"/>
      <c r="I23" s="69"/>
      <c r="K23" s="28"/>
      <c r="AN23" s="8">
        <v>95</v>
      </c>
      <c r="AO23" s="18">
        <f>Dimensionamento!$T$18/2</f>
        <v>0.62023620245825406</v>
      </c>
      <c r="AP23" s="8">
        <f t="shared" si="0"/>
        <v>-5.4057146904236061E-2</v>
      </c>
      <c r="AQ23" s="8">
        <f t="shared" si="1"/>
        <v>0.61787601645347112</v>
      </c>
      <c r="AR23" s="17"/>
      <c r="AS23" s="8">
        <v>95</v>
      </c>
      <c r="AT23" s="18">
        <f t="shared" si="2"/>
        <v>2.4809448098330161E-2</v>
      </c>
      <c r="AU23" s="8">
        <f t="shared" si="3"/>
        <v>-2.1622858761694425E-3</v>
      </c>
      <c r="AV23" s="8">
        <f t="shared" si="4"/>
        <v>2.4715040658138846E-2</v>
      </c>
      <c r="AW23" s="17"/>
      <c r="AX23" s="17"/>
      <c r="AY23" s="17"/>
      <c r="AZ23" s="17"/>
    </row>
    <row r="24" spans="2:52" ht="15.95" customHeight="1" x14ac:dyDescent="0.25">
      <c r="B24" s="20"/>
      <c r="C24" s="68"/>
      <c r="D24" s="68"/>
      <c r="E24" s="68"/>
      <c r="F24" s="68"/>
      <c r="G24" s="68"/>
      <c r="H24" s="42"/>
      <c r="I24" s="69"/>
      <c r="K24" s="28"/>
      <c r="AN24" s="8">
        <v>100</v>
      </c>
      <c r="AO24" s="18">
        <f>Dimensionamento!$T$18/2</f>
        <v>0.62023620245825406</v>
      </c>
      <c r="AP24" s="8">
        <f t="shared" si="0"/>
        <v>-0.10770288627993306</v>
      </c>
      <c r="AQ24" s="8">
        <f t="shared" si="1"/>
        <v>0.61081342087973811</v>
      </c>
      <c r="AR24" s="17"/>
      <c r="AS24" s="8">
        <v>100</v>
      </c>
      <c r="AT24" s="18">
        <f t="shared" si="2"/>
        <v>2.4809448098330161E-2</v>
      </c>
      <c r="AU24" s="8">
        <f t="shared" si="3"/>
        <v>-4.3081154511973221E-3</v>
      </c>
      <c r="AV24" s="8">
        <f t="shared" si="4"/>
        <v>2.4432536835189523E-2</v>
      </c>
      <c r="AW24" s="17"/>
      <c r="AX24" s="167" t="str">
        <f>"Raio do Velame: "&amp;ROUND(Dimensionamento!T18/2,3)&amp;" m"</f>
        <v>Raio do Velame: 0,62 m</v>
      </c>
      <c r="AY24" s="167"/>
      <c r="AZ24" s="17"/>
    </row>
    <row r="25" spans="2:52" ht="15.95" customHeight="1" x14ac:dyDescent="0.25">
      <c r="B25" s="20"/>
      <c r="C25" s="68"/>
      <c r="D25" s="68"/>
      <c r="E25" s="68"/>
      <c r="F25" s="68"/>
      <c r="G25" s="68"/>
      <c r="H25" s="42"/>
      <c r="I25" s="69"/>
      <c r="K25" s="28"/>
      <c r="AN25" s="8">
        <v>105</v>
      </c>
      <c r="AO25" s="18">
        <f>Dimensionamento!$T$18/2</f>
        <v>0.62023620245825406</v>
      </c>
      <c r="AP25" s="8">
        <f t="shared" si="0"/>
        <v>-0.16052894165825912</v>
      </c>
      <c r="AQ25" s="8">
        <f t="shared" si="1"/>
        <v>0.59910216635388291</v>
      </c>
      <c r="AR25" s="17"/>
      <c r="AS25" s="8">
        <v>105</v>
      </c>
      <c r="AT25" s="18">
        <f t="shared" si="2"/>
        <v>2.4809448098330161E-2</v>
      </c>
      <c r="AU25" s="8">
        <f t="shared" si="3"/>
        <v>-6.4211576663303644E-3</v>
      </c>
      <c r="AV25" s="8">
        <f t="shared" si="4"/>
        <v>2.3964086654155316E-2</v>
      </c>
      <c r="AW25" s="17"/>
      <c r="AX25" s="167" t="str">
        <f>"Raio do Hole: "&amp;ROUND(I15/2,3)&amp;" m"</f>
        <v>Raio do Hole: 0,025 m</v>
      </c>
      <c r="AY25" s="167"/>
      <c r="AZ25" s="17"/>
    </row>
    <row r="26" spans="2:52" ht="15.95" customHeight="1" x14ac:dyDescent="0.25">
      <c r="B26" s="20"/>
      <c r="C26" s="68"/>
      <c r="D26" s="68"/>
      <c r="E26" s="68"/>
      <c r="F26" s="68"/>
      <c r="G26" s="68"/>
      <c r="H26" s="42"/>
      <c r="I26" s="69"/>
      <c r="K26" s="28"/>
      <c r="AN26" s="8">
        <v>110</v>
      </c>
      <c r="AO26" s="18">
        <f>Dimensionamento!$T$18/2</f>
        <v>0.62023620245825406</v>
      </c>
      <c r="AP26" s="8">
        <f t="shared" si="0"/>
        <v>-0.21213327486054054</v>
      </c>
      <c r="AQ26" s="8">
        <f t="shared" si="1"/>
        <v>0.58283138259429601</v>
      </c>
      <c r="AR26" s="17"/>
      <c r="AS26" s="8">
        <v>110</v>
      </c>
      <c r="AT26" s="18">
        <f t="shared" si="2"/>
        <v>2.4809448098330161E-2</v>
      </c>
      <c r="AU26" s="8">
        <f t="shared" si="3"/>
        <v>-8.4853309944216207E-3</v>
      </c>
      <c r="AV26" s="8">
        <f t="shared" si="4"/>
        <v>2.3313255303771842E-2</v>
      </c>
      <c r="AW26" s="17"/>
      <c r="AX26" s="17"/>
      <c r="AY26" s="17"/>
      <c r="AZ26" s="17"/>
    </row>
    <row r="27" spans="2:52" ht="15.95" customHeight="1" x14ac:dyDescent="0.25">
      <c r="B27" s="20"/>
      <c r="C27" s="68"/>
      <c r="D27" s="68"/>
      <c r="E27" s="68"/>
      <c r="F27" s="68"/>
      <c r="G27" s="68"/>
      <c r="H27" s="42"/>
      <c r="I27" s="69"/>
      <c r="K27" s="28"/>
      <c r="AN27" s="8">
        <v>115</v>
      </c>
      <c r="AO27" s="18">
        <f>Dimensionamento!$T$18/2</f>
        <v>0.62023620245825406</v>
      </c>
      <c r="AP27" s="8">
        <f t="shared" si="0"/>
        <v>-0.26212314575155982</v>
      </c>
      <c r="AQ27" s="8">
        <f t="shared" si="1"/>
        <v>0.56212490008995586</v>
      </c>
      <c r="AR27" s="17"/>
      <c r="AS27" s="8">
        <v>115</v>
      </c>
      <c r="AT27" s="18">
        <f t="shared" si="2"/>
        <v>2.4809448098330161E-2</v>
      </c>
      <c r="AU27" s="8">
        <f t="shared" si="3"/>
        <v>-1.0484925830062391E-2</v>
      </c>
      <c r="AV27" s="8">
        <f t="shared" si="4"/>
        <v>2.2484996003598233E-2</v>
      </c>
      <c r="AW27" s="17"/>
      <c r="AX27" s="17"/>
      <c r="AY27" s="17"/>
      <c r="AZ27" s="17"/>
    </row>
    <row r="28" spans="2:52" ht="15.95" customHeight="1" x14ac:dyDescent="0.25">
      <c r="B28" s="20"/>
      <c r="C28" s="68"/>
      <c r="D28" s="68"/>
      <c r="E28" s="68"/>
      <c r="F28" s="68"/>
      <c r="G28" s="68"/>
      <c r="H28" s="42"/>
      <c r="I28" s="69"/>
      <c r="K28" s="28"/>
      <c r="AN28" s="8">
        <v>120</v>
      </c>
      <c r="AO28" s="18">
        <f>Dimensionamento!$T$18/2</f>
        <v>0.62023620245825406</v>
      </c>
      <c r="AP28" s="8">
        <f t="shared" si="0"/>
        <v>-0.31011810122912692</v>
      </c>
      <c r="AQ28" s="8">
        <f t="shared" si="1"/>
        <v>0.53714030767563636</v>
      </c>
      <c r="AR28" s="17"/>
      <c r="AS28" s="8">
        <v>120</v>
      </c>
      <c r="AT28" s="18">
        <f t="shared" si="2"/>
        <v>2.4809448098330161E-2</v>
      </c>
      <c r="AU28" s="8">
        <f t="shared" si="3"/>
        <v>-1.2404724049165075E-2</v>
      </c>
      <c r="AV28" s="8">
        <f t="shared" si="4"/>
        <v>2.1485612307025451E-2</v>
      </c>
      <c r="AW28" s="17"/>
      <c r="AX28" s="17"/>
      <c r="AY28" s="17"/>
      <c r="AZ28" s="17"/>
    </row>
    <row r="29" spans="2:52" ht="15.95" customHeight="1" x14ac:dyDescent="0.25">
      <c r="B29" s="20"/>
      <c r="C29" s="68"/>
      <c r="D29" s="68"/>
      <c r="E29" s="68"/>
      <c r="F29" s="68"/>
      <c r="G29" s="68"/>
      <c r="H29" s="42"/>
      <c r="I29" s="69"/>
      <c r="K29" s="28"/>
      <c r="AN29" s="8">
        <v>125</v>
      </c>
      <c r="AO29" s="18">
        <f>Dimensionamento!$T$18/2</f>
        <v>0.62023620245825406</v>
      </c>
      <c r="AP29" s="8">
        <f t="shared" si="0"/>
        <v>-0.35575287070191136</v>
      </c>
      <c r="AQ29" s="8">
        <f t="shared" si="1"/>
        <v>0.50806775318571973</v>
      </c>
      <c r="AR29" s="17"/>
      <c r="AS29" s="8">
        <v>125</v>
      </c>
      <c r="AT29" s="18">
        <f t="shared" si="2"/>
        <v>2.4809448098330161E-2</v>
      </c>
      <c r="AU29" s="8">
        <f t="shared" si="3"/>
        <v>-1.4230114828076453E-2</v>
      </c>
      <c r="AV29" s="8">
        <f t="shared" si="4"/>
        <v>2.0322710127428791E-2</v>
      </c>
      <c r="AW29" s="17"/>
      <c r="AX29" s="17"/>
      <c r="AY29" s="17"/>
      <c r="AZ29" s="17"/>
    </row>
    <row r="30" spans="2:52" ht="15.95" customHeight="1" x14ac:dyDescent="0.25">
      <c r="B30" s="17"/>
      <c r="K30" s="28"/>
      <c r="AN30" s="8">
        <v>130</v>
      </c>
      <c r="AO30" s="18">
        <f>Dimensionamento!$T$18/2</f>
        <v>0.62023620245825406</v>
      </c>
      <c r="AP30" s="8">
        <f t="shared" si="0"/>
        <v>-0.3986801460191976</v>
      </c>
      <c r="AQ30" s="8">
        <f t="shared" si="1"/>
        <v>0.47512849631436294</v>
      </c>
      <c r="AR30" s="17"/>
      <c r="AS30" s="8">
        <v>130</v>
      </c>
      <c r="AT30" s="18">
        <f t="shared" si="2"/>
        <v>2.4809448098330161E-2</v>
      </c>
      <c r="AU30" s="8">
        <f t="shared" si="3"/>
        <v>-1.5947205840767902E-2</v>
      </c>
      <c r="AV30" s="8">
        <f t="shared" si="4"/>
        <v>1.9005139852574515E-2</v>
      </c>
      <c r="AW30" s="17"/>
      <c r="AX30" s="17"/>
      <c r="AY30" s="17"/>
      <c r="AZ30" s="17"/>
    </row>
    <row r="31" spans="2:52" ht="15.95" customHeight="1" x14ac:dyDescent="0.25">
      <c r="K31" s="28"/>
      <c r="AN31" s="8">
        <v>135</v>
      </c>
      <c r="AO31" s="18">
        <f>Dimensionamento!$T$18/2</f>
        <v>0.62023620245825406</v>
      </c>
      <c r="AP31" s="8">
        <f t="shared" si="0"/>
        <v>-0.43857322469562382</v>
      </c>
      <c r="AQ31" s="8">
        <f t="shared" si="1"/>
        <v>0.43857322469562388</v>
      </c>
      <c r="AR31" s="17"/>
      <c r="AS31" s="8">
        <v>135</v>
      </c>
      <c r="AT31" s="18">
        <f t="shared" si="2"/>
        <v>2.4809448098330161E-2</v>
      </c>
      <c r="AU31" s="8">
        <f t="shared" si="3"/>
        <v>-1.7542928987824953E-2</v>
      </c>
      <c r="AV31" s="8">
        <f t="shared" si="4"/>
        <v>1.7542928987824953E-2</v>
      </c>
      <c r="AW31" s="17"/>
      <c r="AX31" s="17"/>
      <c r="AY31" s="17"/>
      <c r="AZ31" s="17"/>
    </row>
    <row r="32" spans="2:52" ht="15.95" customHeight="1" x14ac:dyDescent="0.25">
      <c r="K32" s="28"/>
      <c r="AN32" s="8">
        <v>140</v>
      </c>
      <c r="AO32" s="18">
        <f>Dimensionamento!$T$18/2</f>
        <v>0.62023620245825406</v>
      </c>
      <c r="AP32" s="8">
        <f t="shared" si="0"/>
        <v>-0.47512849631436288</v>
      </c>
      <c r="AQ32" s="8">
        <f t="shared" si="1"/>
        <v>0.39868014601919771</v>
      </c>
      <c r="AR32" s="17"/>
      <c r="AS32" s="8">
        <v>140</v>
      </c>
      <c r="AT32" s="18">
        <f t="shared" si="2"/>
        <v>2.4809448098330161E-2</v>
      </c>
      <c r="AU32" s="8">
        <f t="shared" si="3"/>
        <v>-1.9005139852574515E-2</v>
      </c>
      <c r="AV32" s="8">
        <f t="shared" si="4"/>
        <v>1.5947205840767906E-2</v>
      </c>
      <c r="AW32" s="17"/>
      <c r="AX32" s="17"/>
      <c r="AY32" s="17"/>
      <c r="AZ32" s="17"/>
    </row>
    <row r="33" spans="11:52" ht="15.95" customHeight="1" x14ac:dyDescent="0.25">
      <c r="K33" s="28"/>
      <c r="AN33" s="8">
        <v>145</v>
      </c>
      <c r="AO33" s="18">
        <f>Dimensionamento!$T$18/2</f>
        <v>0.62023620245825406</v>
      </c>
      <c r="AP33" s="8">
        <f t="shared" si="0"/>
        <v>-0.50806775318571984</v>
      </c>
      <c r="AQ33" s="8">
        <f t="shared" si="1"/>
        <v>0.35575287070191119</v>
      </c>
      <c r="AR33" s="17"/>
      <c r="AS33" s="8">
        <v>145</v>
      </c>
      <c r="AT33" s="18">
        <f t="shared" si="2"/>
        <v>2.4809448098330161E-2</v>
      </c>
      <c r="AU33" s="8">
        <f t="shared" si="3"/>
        <v>-2.0322710127428794E-2</v>
      </c>
      <c r="AV33" s="8">
        <f t="shared" si="4"/>
        <v>1.4230114828076448E-2</v>
      </c>
      <c r="AW33" s="17"/>
      <c r="AX33" s="17"/>
      <c r="AY33" s="17"/>
      <c r="AZ33" s="17"/>
    </row>
    <row r="34" spans="11:52" ht="15.95" customHeight="1" x14ac:dyDescent="0.25">
      <c r="K34" s="28"/>
      <c r="AN34" s="8">
        <v>150</v>
      </c>
      <c r="AO34" s="18">
        <f>Dimensionamento!$T$18/2</f>
        <v>0.62023620245825406</v>
      </c>
      <c r="AP34" s="8">
        <f t="shared" si="0"/>
        <v>-0.53714030767563636</v>
      </c>
      <c r="AQ34" s="8">
        <f t="shared" si="1"/>
        <v>0.31011810122912697</v>
      </c>
      <c r="AR34" s="17"/>
      <c r="AS34" s="8">
        <v>150</v>
      </c>
      <c r="AT34" s="18">
        <f t="shared" si="2"/>
        <v>2.4809448098330161E-2</v>
      </c>
      <c r="AU34" s="8">
        <f t="shared" si="3"/>
        <v>-2.1485612307025451E-2</v>
      </c>
      <c r="AV34" s="8">
        <f t="shared" si="4"/>
        <v>1.2404724049165079E-2</v>
      </c>
      <c r="AW34" s="17"/>
      <c r="AX34" s="17"/>
      <c r="AY34" s="17"/>
      <c r="AZ34" s="17"/>
    </row>
    <row r="35" spans="11:52" ht="15.95" customHeight="1" x14ac:dyDescent="0.25">
      <c r="AN35" s="8">
        <v>155</v>
      </c>
      <c r="AO35" s="18">
        <f>Dimensionamento!$T$18/2</f>
        <v>0.62023620245825406</v>
      </c>
      <c r="AP35" s="8">
        <f t="shared" si="0"/>
        <v>-0.56212490008995586</v>
      </c>
      <c r="AQ35" s="8">
        <f t="shared" si="1"/>
        <v>0.26212314575155987</v>
      </c>
      <c r="AR35" s="17"/>
      <c r="AS35" s="8">
        <v>155</v>
      </c>
      <c r="AT35" s="18">
        <f t="shared" si="2"/>
        <v>2.4809448098330161E-2</v>
      </c>
      <c r="AU35" s="8">
        <f t="shared" si="3"/>
        <v>-2.2484996003598233E-2</v>
      </c>
      <c r="AV35" s="8">
        <f t="shared" si="4"/>
        <v>1.0484925830062395E-2</v>
      </c>
      <c r="AW35" s="17"/>
      <c r="AX35" s="17"/>
      <c r="AY35" s="17"/>
      <c r="AZ35" s="17"/>
    </row>
    <row r="36" spans="11:52" ht="15.95" customHeight="1" x14ac:dyDescent="0.25">
      <c r="AN36" s="8">
        <v>160</v>
      </c>
      <c r="AO36" s="18">
        <f>Dimensionamento!$T$18/2</f>
        <v>0.62023620245825406</v>
      </c>
      <c r="AP36" s="8">
        <f t="shared" si="0"/>
        <v>-0.58283138259429601</v>
      </c>
      <c r="AQ36" s="8">
        <f t="shared" si="1"/>
        <v>0.21213327486054062</v>
      </c>
      <c r="AR36" s="17"/>
      <c r="AS36" s="8">
        <v>160</v>
      </c>
      <c r="AT36" s="18">
        <f t="shared" si="2"/>
        <v>2.4809448098330161E-2</v>
      </c>
      <c r="AU36" s="8">
        <f t="shared" si="3"/>
        <v>-2.3313255303771839E-2</v>
      </c>
      <c r="AV36" s="8">
        <f t="shared" si="4"/>
        <v>8.4853309944216242E-3</v>
      </c>
      <c r="AW36" s="17"/>
      <c r="AX36" s="17"/>
      <c r="AY36" s="17"/>
      <c r="AZ36" s="17"/>
    </row>
    <row r="37" spans="11:52" ht="15.95" customHeight="1" x14ac:dyDescent="0.25">
      <c r="AN37" s="8">
        <v>165</v>
      </c>
      <c r="AO37" s="18">
        <f>Dimensionamento!$T$18/2</f>
        <v>0.62023620245825406</v>
      </c>
      <c r="AP37" s="8">
        <f t="shared" ref="AP37:AP68" si="6">AO37*COS(RADIANS(AN37))</f>
        <v>-0.5991021663538828</v>
      </c>
      <c r="AQ37" s="8">
        <f t="shared" ref="AQ37:AQ68" si="7">AO37*SIN(RADIANS(AN37))</f>
        <v>0.16052894165825921</v>
      </c>
      <c r="AR37" s="17"/>
      <c r="AS37" s="8">
        <v>165</v>
      </c>
      <c r="AT37" s="18">
        <f t="shared" ref="AT37:AT69" si="8">$I$15/2</f>
        <v>2.4809448098330161E-2</v>
      </c>
      <c r="AU37" s="8">
        <f t="shared" si="3"/>
        <v>-2.3964086654155312E-2</v>
      </c>
      <c r="AV37" s="8">
        <f t="shared" si="4"/>
        <v>6.4211576663303679E-3</v>
      </c>
      <c r="AW37" s="17"/>
      <c r="AX37" s="17"/>
      <c r="AY37" s="17"/>
      <c r="AZ37" s="17"/>
    </row>
    <row r="38" spans="11:52" ht="15.95" customHeight="1" x14ac:dyDescent="0.25">
      <c r="O38" s="174"/>
      <c r="P38" s="174"/>
      <c r="Q38" s="174"/>
      <c r="R38" s="175">
        <f>Dimensionamento!T18/2</f>
        <v>0.62023620245825406</v>
      </c>
      <c r="AN38" s="8">
        <v>170</v>
      </c>
      <c r="AO38" s="18">
        <f>Dimensionamento!$T$18/2</f>
        <v>0.62023620245825406</v>
      </c>
      <c r="AP38" s="8">
        <f t="shared" si="6"/>
        <v>-0.61081342087973811</v>
      </c>
      <c r="AQ38" s="8">
        <f t="shared" si="7"/>
        <v>0.10770288627993303</v>
      </c>
      <c r="AR38" s="17"/>
      <c r="AS38" s="8">
        <v>170</v>
      </c>
      <c r="AT38" s="18">
        <f t="shared" si="8"/>
        <v>2.4809448098330161E-2</v>
      </c>
      <c r="AU38" s="8">
        <f t="shared" si="3"/>
        <v>-2.4432536835189523E-2</v>
      </c>
      <c r="AV38" s="8">
        <f t="shared" si="4"/>
        <v>4.3081154511973212E-3</v>
      </c>
      <c r="AW38" s="17"/>
      <c r="AX38" s="17"/>
      <c r="AY38" s="17"/>
      <c r="AZ38" s="17"/>
    </row>
    <row r="39" spans="11:52" ht="15.95" customHeight="1" x14ac:dyDescent="0.25">
      <c r="O39" s="174"/>
      <c r="P39" s="174"/>
      <c r="Q39" s="174"/>
      <c r="R39" s="175">
        <f>I15/2</f>
        <v>2.4809448098330161E-2</v>
      </c>
      <c r="AN39" s="8">
        <v>175</v>
      </c>
      <c r="AO39" s="18">
        <f>Dimensionamento!$T$18/2</f>
        <v>0.62023620245825406</v>
      </c>
      <c r="AP39" s="8">
        <f t="shared" si="6"/>
        <v>-0.61787601645347112</v>
      </c>
      <c r="AQ39" s="8">
        <f t="shared" si="7"/>
        <v>5.4057146904236034E-2</v>
      </c>
      <c r="AR39" s="17"/>
      <c r="AS39" s="8">
        <v>175</v>
      </c>
      <c r="AT39" s="18">
        <f t="shared" si="8"/>
        <v>2.4809448098330161E-2</v>
      </c>
      <c r="AU39" s="8">
        <f t="shared" si="3"/>
        <v>-2.4715040658138846E-2</v>
      </c>
      <c r="AV39" s="8">
        <f t="shared" si="4"/>
        <v>2.1622858761694412E-3</v>
      </c>
      <c r="AW39" s="17"/>
      <c r="AX39" s="17"/>
      <c r="AY39" s="17"/>
      <c r="AZ39" s="17"/>
    </row>
    <row r="40" spans="11:52" ht="15.95" customHeight="1" x14ac:dyDescent="0.25">
      <c r="AN40" s="8">
        <v>180</v>
      </c>
      <c r="AO40" s="18">
        <f>Dimensionamento!$T$18/2</f>
        <v>0.62023620245825406</v>
      </c>
      <c r="AP40" s="8">
        <f t="shared" si="6"/>
        <v>-0.62023620245825406</v>
      </c>
      <c r="AQ40" s="8">
        <f t="shared" si="7"/>
        <v>7.5988142512012002E-17</v>
      </c>
      <c r="AR40" s="17"/>
      <c r="AS40" s="8">
        <v>180</v>
      </c>
      <c r="AT40" s="18">
        <f t="shared" si="8"/>
        <v>2.4809448098330161E-2</v>
      </c>
      <c r="AU40" s="8">
        <f t="shared" si="3"/>
        <v>-2.4809448098330161E-2</v>
      </c>
      <c r="AV40" s="8">
        <f t="shared" si="4"/>
        <v>3.0395257004804797E-18</v>
      </c>
      <c r="AW40" s="17"/>
      <c r="AX40" s="17"/>
      <c r="AY40" s="17"/>
      <c r="AZ40" s="17"/>
    </row>
    <row r="41" spans="11:52" ht="15.95" customHeight="1" x14ac:dyDescent="0.25">
      <c r="AN41" s="8">
        <v>185</v>
      </c>
      <c r="AO41" s="18">
        <f>Dimensionamento!$T$18/2</f>
        <v>0.62023620245825406</v>
      </c>
      <c r="AP41" s="8">
        <f t="shared" si="6"/>
        <v>-0.61787601645347112</v>
      </c>
      <c r="AQ41" s="8">
        <f t="shared" si="7"/>
        <v>-5.4057146904235881E-2</v>
      </c>
      <c r="AR41" s="17"/>
      <c r="AS41" s="8">
        <v>185</v>
      </c>
      <c r="AT41" s="18">
        <f t="shared" si="8"/>
        <v>2.4809448098330161E-2</v>
      </c>
      <c r="AU41" s="8">
        <f t="shared" si="3"/>
        <v>-2.4715040658138846E-2</v>
      </c>
      <c r="AV41" s="8">
        <f t="shared" si="4"/>
        <v>-2.1622858761694351E-3</v>
      </c>
      <c r="AW41" s="17"/>
      <c r="AX41" s="17"/>
      <c r="AY41" s="17"/>
      <c r="AZ41" s="17"/>
    </row>
    <row r="42" spans="11:52" ht="15.95" customHeight="1" x14ac:dyDescent="0.25">
      <c r="AN42" s="8">
        <v>190</v>
      </c>
      <c r="AO42" s="18">
        <f>Dimensionamento!$T$18/2</f>
        <v>0.62023620245825406</v>
      </c>
      <c r="AP42" s="8">
        <f t="shared" si="6"/>
        <v>-0.61081342087973811</v>
      </c>
      <c r="AQ42" s="8">
        <f t="shared" si="7"/>
        <v>-0.10770288627993316</v>
      </c>
      <c r="AR42" s="17"/>
      <c r="AS42" s="8">
        <v>190</v>
      </c>
      <c r="AT42" s="18">
        <f t="shared" si="8"/>
        <v>2.4809448098330161E-2</v>
      </c>
      <c r="AU42" s="8">
        <f t="shared" si="3"/>
        <v>-2.4432536835189523E-2</v>
      </c>
      <c r="AV42" s="8">
        <f t="shared" si="4"/>
        <v>-4.3081154511973264E-3</v>
      </c>
      <c r="AW42" s="17"/>
      <c r="AX42" s="17"/>
      <c r="AY42" s="17"/>
      <c r="AZ42" s="17"/>
    </row>
    <row r="43" spans="11:52" ht="15.95" customHeight="1" x14ac:dyDescent="0.25">
      <c r="AN43" s="8">
        <v>195</v>
      </c>
      <c r="AO43" s="18">
        <f>Dimensionamento!$T$18/2</f>
        <v>0.62023620245825406</v>
      </c>
      <c r="AP43" s="8">
        <f t="shared" si="6"/>
        <v>-0.59910216635388291</v>
      </c>
      <c r="AQ43" s="8">
        <f t="shared" si="7"/>
        <v>-0.16052894165825907</v>
      </c>
      <c r="AR43" s="17"/>
      <c r="AS43" s="8">
        <v>195</v>
      </c>
      <c r="AT43" s="18">
        <f t="shared" si="8"/>
        <v>2.4809448098330161E-2</v>
      </c>
      <c r="AU43" s="8">
        <f t="shared" si="3"/>
        <v>-2.3964086654155316E-2</v>
      </c>
      <c r="AV43" s="8">
        <f t="shared" si="4"/>
        <v>-6.4211576663303627E-3</v>
      </c>
      <c r="AW43" s="17"/>
      <c r="AX43" s="17"/>
      <c r="AY43" s="17"/>
      <c r="AZ43" s="17"/>
    </row>
    <row r="44" spans="11:52" ht="15.95" customHeight="1" x14ac:dyDescent="0.25">
      <c r="AN44" s="8">
        <v>200</v>
      </c>
      <c r="AO44" s="18">
        <f>Dimensionamento!$T$18/2</f>
        <v>0.62023620245825406</v>
      </c>
      <c r="AP44" s="8">
        <f t="shared" si="6"/>
        <v>-0.58283138259429601</v>
      </c>
      <c r="AQ44" s="8">
        <f t="shared" si="7"/>
        <v>-0.21213327486054048</v>
      </c>
      <c r="AR44" s="17"/>
      <c r="AS44" s="8">
        <v>200</v>
      </c>
      <c r="AT44" s="18">
        <f t="shared" si="8"/>
        <v>2.4809448098330161E-2</v>
      </c>
      <c r="AU44" s="8">
        <f t="shared" si="3"/>
        <v>-2.3313255303771842E-2</v>
      </c>
      <c r="AV44" s="8">
        <f t="shared" si="4"/>
        <v>-8.485330994421619E-3</v>
      </c>
      <c r="AW44" s="17"/>
      <c r="AX44" s="17"/>
      <c r="AY44" s="17"/>
      <c r="AZ44" s="17"/>
    </row>
    <row r="45" spans="11:52" ht="15.95" customHeight="1" x14ac:dyDescent="0.25">
      <c r="AN45" s="8">
        <v>205</v>
      </c>
      <c r="AO45" s="18">
        <f>Dimensionamento!$T$18/2</f>
        <v>0.62023620245825406</v>
      </c>
      <c r="AP45" s="8">
        <f t="shared" si="6"/>
        <v>-0.56212490008995586</v>
      </c>
      <c r="AQ45" s="8">
        <f t="shared" si="7"/>
        <v>-0.26212314575155976</v>
      </c>
      <c r="AR45" s="17"/>
      <c r="AS45" s="8">
        <v>205</v>
      </c>
      <c r="AT45" s="18">
        <f t="shared" si="8"/>
        <v>2.4809448098330161E-2</v>
      </c>
      <c r="AU45" s="8">
        <f t="shared" si="3"/>
        <v>-2.2484996003598233E-2</v>
      </c>
      <c r="AV45" s="8">
        <f t="shared" si="4"/>
        <v>-1.0484925830062389E-2</v>
      </c>
      <c r="AW45" s="17"/>
      <c r="AX45" s="17"/>
      <c r="AY45" s="17"/>
      <c r="AZ45" s="17"/>
    </row>
    <row r="46" spans="11:52" ht="15.95" customHeight="1" x14ac:dyDescent="0.25">
      <c r="AN46" s="8">
        <v>210</v>
      </c>
      <c r="AO46" s="18">
        <f>Dimensionamento!$T$18/2</f>
        <v>0.62023620245825406</v>
      </c>
      <c r="AP46" s="8">
        <f t="shared" si="6"/>
        <v>-0.53714030767563625</v>
      </c>
      <c r="AQ46" s="8">
        <f t="shared" si="7"/>
        <v>-0.31011810122912709</v>
      </c>
      <c r="AR46" s="17"/>
      <c r="AS46" s="8">
        <v>210</v>
      </c>
      <c r="AT46" s="18">
        <f t="shared" si="8"/>
        <v>2.4809448098330161E-2</v>
      </c>
      <c r="AU46" s="8">
        <f t="shared" si="3"/>
        <v>-2.1485612307025451E-2</v>
      </c>
      <c r="AV46" s="8">
        <f t="shared" si="4"/>
        <v>-1.2404724049165084E-2</v>
      </c>
      <c r="AW46" s="17"/>
      <c r="AX46" s="17"/>
      <c r="AY46" s="17"/>
      <c r="AZ46" s="17"/>
    </row>
    <row r="47" spans="11:52" ht="15.95" customHeight="1" x14ac:dyDescent="0.25">
      <c r="AN47" s="8">
        <v>215</v>
      </c>
      <c r="AO47" s="18">
        <f>Dimensionamento!$T$18/2</f>
        <v>0.62023620245825406</v>
      </c>
      <c r="AP47" s="8">
        <f t="shared" si="6"/>
        <v>-0.50806775318571984</v>
      </c>
      <c r="AQ47" s="8">
        <f t="shared" si="7"/>
        <v>-0.35575287070191136</v>
      </c>
      <c r="AR47" s="17"/>
      <c r="AS47" s="8">
        <v>215</v>
      </c>
      <c r="AT47" s="18">
        <f t="shared" si="8"/>
        <v>2.4809448098330161E-2</v>
      </c>
      <c r="AU47" s="8">
        <f t="shared" si="3"/>
        <v>-2.0322710127428791E-2</v>
      </c>
      <c r="AV47" s="8">
        <f t="shared" si="4"/>
        <v>-1.4230114828076453E-2</v>
      </c>
      <c r="AW47" s="17"/>
      <c r="AX47" s="17"/>
      <c r="AY47" s="17"/>
      <c r="AZ47" s="17"/>
    </row>
    <row r="48" spans="11:52" ht="15.95" customHeight="1" x14ac:dyDescent="0.25">
      <c r="AN48" s="8">
        <v>220</v>
      </c>
      <c r="AO48" s="18">
        <f>Dimensionamento!$T$18/2</f>
        <v>0.62023620245825406</v>
      </c>
      <c r="AP48" s="8">
        <f t="shared" si="6"/>
        <v>-0.47512849631436294</v>
      </c>
      <c r="AQ48" s="8">
        <f t="shared" si="7"/>
        <v>-0.39868014601919755</v>
      </c>
      <c r="AR48" s="17"/>
      <c r="AS48" s="8">
        <v>220</v>
      </c>
      <c r="AT48" s="18">
        <f t="shared" si="8"/>
        <v>2.4809448098330161E-2</v>
      </c>
      <c r="AU48" s="8">
        <f t="shared" si="3"/>
        <v>-1.9005139852574515E-2</v>
      </c>
      <c r="AV48" s="8">
        <f t="shared" si="4"/>
        <v>-1.5947205840767902E-2</v>
      </c>
      <c r="AW48" s="17"/>
      <c r="AX48" s="17"/>
      <c r="AY48" s="17"/>
      <c r="AZ48" s="17"/>
    </row>
    <row r="49" spans="40:52" ht="15.95" customHeight="1" x14ac:dyDescent="0.25">
      <c r="AN49" s="8">
        <v>225</v>
      </c>
      <c r="AO49" s="18">
        <f>Dimensionamento!$T$18/2</f>
        <v>0.62023620245825406</v>
      </c>
      <c r="AP49" s="8">
        <f t="shared" si="6"/>
        <v>-0.43857322469562393</v>
      </c>
      <c r="AQ49" s="8">
        <f t="shared" si="7"/>
        <v>-0.43857322469562382</v>
      </c>
      <c r="AR49" s="17"/>
      <c r="AS49" s="8">
        <v>225</v>
      </c>
      <c r="AT49" s="18">
        <f t="shared" si="8"/>
        <v>2.4809448098330161E-2</v>
      </c>
      <c r="AU49" s="8">
        <f t="shared" si="3"/>
        <v>-1.7542928987824957E-2</v>
      </c>
      <c r="AV49" s="8">
        <f t="shared" si="4"/>
        <v>-1.7542928987824953E-2</v>
      </c>
      <c r="AW49" s="17"/>
      <c r="AX49" s="17"/>
      <c r="AY49" s="17"/>
      <c r="AZ49" s="17"/>
    </row>
    <row r="50" spans="40:52" ht="15.95" customHeight="1" x14ac:dyDescent="0.25">
      <c r="AN50" s="8">
        <v>230</v>
      </c>
      <c r="AO50" s="18">
        <f>Dimensionamento!$T$18/2</f>
        <v>0.62023620245825406</v>
      </c>
      <c r="AP50" s="8">
        <f t="shared" si="6"/>
        <v>-0.39868014601919771</v>
      </c>
      <c r="AQ50" s="8">
        <f t="shared" si="7"/>
        <v>-0.47512849631436288</v>
      </c>
      <c r="AR50" s="17"/>
      <c r="AS50" s="8">
        <v>230</v>
      </c>
      <c r="AT50" s="18">
        <f t="shared" si="8"/>
        <v>2.4809448098330161E-2</v>
      </c>
      <c r="AU50" s="8">
        <f t="shared" si="3"/>
        <v>-1.5947205840767906E-2</v>
      </c>
      <c r="AV50" s="8">
        <f t="shared" si="4"/>
        <v>-1.9005139852574515E-2</v>
      </c>
      <c r="AW50" s="17"/>
      <c r="AX50" s="17"/>
      <c r="AY50" s="17"/>
      <c r="AZ50" s="17"/>
    </row>
    <row r="51" spans="40:52" ht="15.95" customHeight="1" x14ac:dyDescent="0.25">
      <c r="AN51" s="8">
        <v>235</v>
      </c>
      <c r="AO51" s="18">
        <f>Dimensionamento!$T$18/2</f>
        <v>0.62023620245825406</v>
      </c>
      <c r="AP51" s="8">
        <f t="shared" si="6"/>
        <v>-0.35575287070191147</v>
      </c>
      <c r="AQ51" s="8">
        <f t="shared" si="7"/>
        <v>-0.50806775318571973</v>
      </c>
      <c r="AR51" s="17"/>
      <c r="AS51" s="8">
        <v>235</v>
      </c>
      <c r="AT51" s="18">
        <f t="shared" si="8"/>
        <v>2.4809448098330161E-2</v>
      </c>
      <c r="AU51" s="8">
        <f t="shared" si="3"/>
        <v>-1.4230114828076458E-2</v>
      </c>
      <c r="AV51" s="8">
        <f t="shared" si="4"/>
        <v>-2.0322710127428787E-2</v>
      </c>
      <c r="AW51" s="17"/>
      <c r="AX51" s="17"/>
      <c r="AY51" s="17"/>
      <c r="AZ51" s="17"/>
    </row>
    <row r="52" spans="40:52" ht="15.95" customHeight="1" x14ac:dyDescent="0.25">
      <c r="AN52" s="8">
        <v>240</v>
      </c>
      <c r="AO52" s="18">
        <f>Dimensionamento!$T$18/2</f>
        <v>0.62023620245825406</v>
      </c>
      <c r="AP52" s="8">
        <f t="shared" si="6"/>
        <v>-0.31011810122912731</v>
      </c>
      <c r="AQ52" s="8">
        <f t="shared" si="7"/>
        <v>-0.53714030767563614</v>
      </c>
      <c r="AR52" s="17"/>
      <c r="AS52" s="8">
        <v>240</v>
      </c>
      <c r="AT52" s="18">
        <f t="shared" si="8"/>
        <v>2.4809448098330161E-2</v>
      </c>
      <c r="AU52" s="8">
        <f t="shared" si="3"/>
        <v>-1.2404724049165091E-2</v>
      </c>
      <c r="AV52" s="8">
        <f t="shared" si="4"/>
        <v>-2.1485612307025444E-2</v>
      </c>
      <c r="AW52" s="17"/>
      <c r="AX52" s="17"/>
      <c r="AY52" s="17"/>
      <c r="AZ52" s="17"/>
    </row>
    <row r="53" spans="40:52" ht="15.95" customHeight="1" x14ac:dyDescent="0.25">
      <c r="AN53" s="8">
        <v>245</v>
      </c>
      <c r="AO53" s="18">
        <f>Dimensionamento!$T$18/2</f>
        <v>0.62023620245825406</v>
      </c>
      <c r="AP53" s="8">
        <f t="shared" si="6"/>
        <v>-0.26212314575155971</v>
      </c>
      <c r="AQ53" s="8">
        <f t="shared" si="7"/>
        <v>-0.56212490008995586</v>
      </c>
      <c r="AR53" s="17"/>
      <c r="AS53" s="8">
        <v>245</v>
      </c>
      <c r="AT53" s="18">
        <f t="shared" si="8"/>
        <v>2.4809448098330161E-2</v>
      </c>
      <c r="AU53" s="8">
        <f t="shared" si="3"/>
        <v>-1.0484925830062388E-2</v>
      </c>
      <c r="AV53" s="8">
        <f t="shared" si="4"/>
        <v>-2.2484996003598233E-2</v>
      </c>
      <c r="AW53" s="17"/>
      <c r="AX53" s="17"/>
      <c r="AY53" s="17"/>
      <c r="AZ53" s="17"/>
    </row>
    <row r="54" spans="40:52" ht="15.95" customHeight="1" x14ac:dyDescent="0.25">
      <c r="AN54" s="8">
        <v>250</v>
      </c>
      <c r="AO54" s="18">
        <f>Dimensionamento!$T$18/2</f>
        <v>0.62023620245825406</v>
      </c>
      <c r="AP54" s="8">
        <f t="shared" si="6"/>
        <v>-0.21213327486054043</v>
      </c>
      <c r="AQ54" s="8">
        <f t="shared" si="7"/>
        <v>-0.58283138259429601</v>
      </c>
      <c r="AR54" s="17"/>
      <c r="AS54" s="8">
        <v>250</v>
      </c>
      <c r="AT54" s="18">
        <f t="shared" si="8"/>
        <v>2.4809448098330161E-2</v>
      </c>
      <c r="AU54" s="8">
        <f t="shared" si="3"/>
        <v>-8.4853309944216172E-3</v>
      </c>
      <c r="AV54" s="8">
        <f t="shared" si="4"/>
        <v>-2.3313255303771842E-2</v>
      </c>
      <c r="AW54" s="17"/>
      <c r="AX54" s="17"/>
      <c r="AY54" s="17"/>
      <c r="AZ54" s="17"/>
    </row>
    <row r="55" spans="40:52" ht="15.95" customHeight="1" x14ac:dyDescent="0.25">
      <c r="AN55" s="8">
        <v>255</v>
      </c>
      <c r="AO55" s="18">
        <f>Dimensionamento!$T$18/2</f>
        <v>0.62023620245825406</v>
      </c>
      <c r="AP55" s="8">
        <f t="shared" si="6"/>
        <v>-0.16052894165825898</v>
      </c>
      <c r="AQ55" s="8">
        <f t="shared" si="7"/>
        <v>-0.59910216635388291</v>
      </c>
      <c r="AR55" s="17"/>
      <c r="AS55" s="8">
        <v>255</v>
      </c>
      <c r="AT55" s="18">
        <f t="shared" si="8"/>
        <v>2.4809448098330161E-2</v>
      </c>
      <c r="AU55" s="8">
        <f t="shared" si="3"/>
        <v>-6.4211576663303583E-3</v>
      </c>
      <c r="AV55" s="8">
        <f t="shared" si="4"/>
        <v>-2.3964086654155316E-2</v>
      </c>
      <c r="AW55" s="17"/>
      <c r="AX55" s="17"/>
      <c r="AY55" s="17"/>
      <c r="AZ55" s="17"/>
    </row>
    <row r="56" spans="40:52" ht="15.95" customHeight="1" x14ac:dyDescent="0.25">
      <c r="AN56" s="8">
        <v>260</v>
      </c>
      <c r="AO56" s="18">
        <f>Dimensionamento!$T$18/2</f>
        <v>0.62023620245825406</v>
      </c>
      <c r="AP56" s="8">
        <f t="shared" si="6"/>
        <v>-0.10770288627993307</v>
      </c>
      <c r="AQ56" s="8">
        <f t="shared" si="7"/>
        <v>-0.61081342087973811</v>
      </c>
      <c r="AR56" s="17"/>
      <c r="AS56" s="8">
        <v>260</v>
      </c>
      <c r="AT56" s="18">
        <f t="shared" si="8"/>
        <v>2.4809448098330161E-2</v>
      </c>
      <c r="AU56" s="8">
        <f t="shared" si="3"/>
        <v>-4.3081154511973229E-3</v>
      </c>
      <c r="AV56" s="8">
        <f t="shared" si="4"/>
        <v>-2.4432536835189523E-2</v>
      </c>
      <c r="AW56" s="17"/>
      <c r="AX56" s="17"/>
      <c r="AY56" s="17"/>
      <c r="AZ56" s="17"/>
    </row>
    <row r="57" spans="40:52" ht="15.95" customHeight="1" x14ac:dyDescent="0.25">
      <c r="AN57" s="8">
        <v>265</v>
      </c>
      <c r="AO57" s="18">
        <f>Dimensionamento!$T$18/2</f>
        <v>0.62023620245825406</v>
      </c>
      <c r="AP57" s="8">
        <f t="shared" si="6"/>
        <v>-5.4057146904236068E-2</v>
      </c>
      <c r="AQ57" s="8">
        <f t="shared" si="7"/>
        <v>-0.61787601645347112</v>
      </c>
      <c r="AR57" s="17"/>
      <c r="AS57" s="8">
        <v>265</v>
      </c>
      <c r="AT57" s="18">
        <f t="shared" si="8"/>
        <v>2.4809448098330161E-2</v>
      </c>
      <c r="AU57" s="8">
        <f t="shared" si="3"/>
        <v>-2.1622858761694429E-3</v>
      </c>
      <c r="AV57" s="8">
        <f t="shared" si="4"/>
        <v>-2.4715040658138846E-2</v>
      </c>
      <c r="AW57" s="17"/>
      <c r="AX57" s="17"/>
      <c r="AY57" s="17"/>
      <c r="AZ57" s="17"/>
    </row>
    <row r="58" spans="40:52" ht="15.95" customHeight="1" x14ac:dyDescent="0.25">
      <c r="AN58" s="8">
        <v>270</v>
      </c>
      <c r="AO58" s="18">
        <f>Dimensionamento!$T$18/2</f>
        <v>0.62023620245825406</v>
      </c>
      <c r="AP58" s="8">
        <f t="shared" si="6"/>
        <v>-1.13982213768018E-16</v>
      </c>
      <c r="AQ58" s="8">
        <f t="shared" si="7"/>
        <v>-0.62023620245825406</v>
      </c>
      <c r="AR58" s="17"/>
      <c r="AS58" s="8">
        <v>270</v>
      </c>
      <c r="AT58" s="18">
        <f t="shared" si="8"/>
        <v>2.4809448098330161E-2</v>
      </c>
      <c r="AU58" s="8">
        <f t="shared" si="3"/>
        <v>-4.5592885507207197E-18</v>
      </c>
      <c r="AV58" s="8">
        <f t="shared" si="4"/>
        <v>-2.4809448098330161E-2</v>
      </c>
      <c r="AW58" s="17"/>
      <c r="AX58" s="17"/>
      <c r="AY58" s="17"/>
      <c r="AZ58" s="17"/>
    </row>
    <row r="59" spans="40:52" ht="15.95" customHeight="1" x14ac:dyDescent="0.25">
      <c r="AN59" s="8">
        <v>275</v>
      </c>
      <c r="AO59" s="18">
        <f>Dimensionamento!$T$18/2</f>
        <v>0.62023620245825406</v>
      </c>
      <c r="AP59" s="8">
        <f t="shared" si="6"/>
        <v>5.4057146904235846E-2</v>
      </c>
      <c r="AQ59" s="8">
        <f t="shared" si="7"/>
        <v>-0.61787601645347112</v>
      </c>
      <c r="AR59" s="17"/>
      <c r="AS59" s="8">
        <v>275</v>
      </c>
      <c r="AT59" s="18">
        <f t="shared" si="8"/>
        <v>2.4809448098330161E-2</v>
      </c>
      <c r="AU59" s="8">
        <f t="shared" si="3"/>
        <v>2.1622858761694338E-3</v>
      </c>
      <c r="AV59" s="8">
        <f t="shared" si="4"/>
        <v>-2.4715040658138846E-2</v>
      </c>
      <c r="AW59" s="17"/>
      <c r="AX59" s="17"/>
      <c r="AY59" s="17"/>
      <c r="AZ59" s="17"/>
    </row>
    <row r="60" spans="40:52" ht="15.95" customHeight="1" x14ac:dyDescent="0.25">
      <c r="AN60" s="8">
        <v>280</v>
      </c>
      <c r="AO60" s="18">
        <f>Dimensionamento!$T$18/2</f>
        <v>0.62023620245825406</v>
      </c>
      <c r="AP60" s="8">
        <f t="shared" si="6"/>
        <v>0.10770288627993285</v>
      </c>
      <c r="AQ60" s="8">
        <f t="shared" si="7"/>
        <v>-0.61081342087973822</v>
      </c>
      <c r="AR60" s="17"/>
      <c r="AS60" s="8">
        <v>280</v>
      </c>
      <c r="AT60" s="18">
        <f t="shared" si="8"/>
        <v>2.4809448098330161E-2</v>
      </c>
      <c r="AU60" s="8">
        <f t="shared" si="3"/>
        <v>4.3081154511973134E-3</v>
      </c>
      <c r="AV60" s="8">
        <f t="shared" si="4"/>
        <v>-2.4432536835189526E-2</v>
      </c>
      <c r="AW60" s="17"/>
      <c r="AX60" s="17"/>
      <c r="AY60" s="17"/>
      <c r="AZ60" s="17"/>
    </row>
    <row r="61" spans="40:52" ht="15.95" customHeight="1" x14ac:dyDescent="0.25">
      <c r="AN61" s="8">
        <v>285</v>
      </c>
      <c r="AO61" s="18">
        <f>Dimensionamento!$T$18/2</f>
        <v>0.62023620245825406</v>
      </c>
      <c r="AP61" s="8">
        <f t="shared" si="6"/>
        <v>0.16052894165825876</v>
      </c>
      <c r="AQ61" s="8">
        <f t="shared" si="7"/>
        <v>-0.59910216635388303</v>
      </c>
      <c r="AR61" s="17"/>
      <c r="AS61" s="8">
        <v>285</v>
      </c>
      <c r="AT61" s="18">
        <f t="shared" si="8"/>
        <v>2.4809448098330161E-2</v>
      </c>
      <c r="AU61" s="8">
        <f t="shared" si="3"/>
        <v>6.4211576663303505E-3</v>
      </c>
      <c r="AV61" s="8">
        <f t="shared" si="4"/>
        <v>-2.3964086654155319E-2</v>
      </c>
      <c r="AW61" s="17"/>
      <c r="AX61" s="17"/>
      <c r="AY61" s="17"/>
      <c r="AZ61" s="17"/>
    </row>
    <row r="62" spans="40:52" ht="15.95" customHeight="1" x14ac:dyDescent="0.25">
      <c r="AN62" s="8">
        <v>290</v>
      </c>
      <c r="AO62" s="18">
        <f>Dimensionamento!$T$18/2</f>
        <v>0.62023620245825406</v>
      </c>
      <c r="AP62" s="8">
        <f t="shared" si="6"/>
        <v>0.2121332748605407</v>
      </c>
      <c r="AQ62" s="8">
        <f t="shared" si="7"/>
        <v>-0.58283138259429601</v>
      </c>
      <c r="AR62" s="17"/>
      <c r="AS62" s="8">
        <v>290</v>
      </c>
      <c r="AT62" s="18">
        <f t="shared" si="8"/>
        <v>2.4809448098330161E-2</v>
      </c>
      <c r="AU62" s="8">
        <f t="shared" si="3"/>
        <v>8.4853309944216276E-3</v>
      </c>
      <c r="AV62" s="8">
        <f t="shared" si="4"/>
        <v>-2.3313255303771839E-2</v>
      </c>
      <c r="AW62" s="17"/>
      <c r="AX62" s="17"/>
      <c r="AY62" s="17"/>
      <c r="AZ62" s="17"/>
    </row>
    <row r="63" spans="40:52" ht="15.95" customHeight="1" x14ac:dyDescent="0.25">
      <c r="AN63" s="8">
        <v>295</v>
      </c>
      <c r="AO63" s="18">
        <f>Dimensionamento!$T$18/2</f>
        <v>0.62023620245825406</v>
      </c>
      <c r="AP63" s="8">
        <f t="shared" si="6"/>
        <v>0.26212314575155998</v>
      </c>
      <c r="AQ63" s="8">
        <f t="shared" si="7"/>
        <v>-0.56212490008995586</v>
      </c>
      <c r="AR63" s="17"/>
      <c r="AS63" s="8">
        <v>295</v>
      </c>
      <c r="AT63" s="18">
        <f t="shared" si="8"/>
        <v>2.4809448098330161E-2</v>
      </c>
      <c r="AU63" s="8">
        <f t="shared" si="3"/>
        <v>1.0484925830062398E-2</v>
      </c>
      <c r="AV63" s="8">
        <f t="shared" si="4"/>
        <v>-2.2484996003598233E-2</v>
      </c>
      <c r="AW63" s="17"/>
      <c r="AX63" s="17"/>
      <c r="AY63" s="17"/>
      <c r="AZ63" s="17"/>
    </row>
    <row r="64" spans="40:52" ht="15.95" customHeight="1" x14ac:dyDescent="0.25">
      <c r="AN64" s="8">
        <v>300</v>
      </c>
      <c r="AO64" s="18">
        <f>Dimensionamento!$T$18/2</f>
        <v>0.62023620245825406</v>
      </c>
      <c r="AP64" s="8">
        <f t="shared" si="6"/>
        <v>0.31011810122912709</v>
      </c>
      <c r="AQ64" s="8">
        <f t="shared" si="7"/>
        <v>-0.53714030767563625</v>
      </c>
      <c r="AR64" s="17"/>
      <c r="AS64" s="8">
        <v>300</v>
      </c>
      <c r="AT64" s="18">
        <f t="shared" si="8"/>
        <v>2.4809448098330161E-2</v>
      </c>
      <c r="AU64" s="8">
        <f t="shared" si="3"/>
        <v>1.2404724049165084E-2</v>
      </c>
      <c r="AV64" s="8">
        <f t="shared" si="4"/>
        <v>-2.1485612307025451E-2</v>
      </c>
      <c r="AW64" s="17"/>
      <c r="AX64" s="17"/>
      <c r="AY64" s="17"/>
      <c r="AZ64" s="17"/>
    </row>
    <row r="65" spans="40:52" ht="15.95" customHeight="1" x14ac:dyDescent="0.25">
      <c r="AN65" s="8">
        <v>305</v>
      </c>
      <c r="AO65" s="18">
        <f>Dimensionamento!$T$18/2</f>
        <v>0.62023620245825406</v>
      </c>
      <c r="AP65" s="8">
        <f t="shared" si="6"/>
        <v>0.35575287070191125</v>
      </c>
      <c r="AQ65" s="8">
        <f t="shared" si="7"/>
        <v>-0.50806775318571984</v>
      </c>
      <c r="AR65" s="17"/>
      <c r="AS65" s="8">
        <v>305</v>
      </c>
      <c r="AT65" s="18">
        <f t="shared" si="8"/>
        <v>2.4809448098330161E-2</v>
      </c>
      <c r="AU65" s="8">
        <f t="shared" si="3"/>
        <v>1.423011482807645E-2</v>
      </c>
      <c r="AV65" s="8">
        <f t="shared" si="4"/>
        <v>-2.0322710127428791E-2</v>
      </c>
      <c r="AW65" s="17"/>
      <c r="AX65" s="17"/>
      <c r="AY65" s="17"/>
      <c r="AZ65" s="17"/>
    </row>
    <row r="66" spans="40:52" ht="15.95" customHeight="1" x14ac:dyDescent="0.25">
      <c r="AN66" s="8">
        <v>310</v>
      </c>
      <c r="AO66" s="18">
        <f>Dimensionamento!$T$18/2</f>
        <v>0.62023620245825406</v>
      </c>
      <c r="AP66" s="8">
        <f t="shared" si="6"/>
        <v>0.39868014601919755</v>
      </c>
      <c r="AQ66" s="8">
        <f t="shared" si="7"/>
        <v>-0.47512849631436299</v>
      </c>
      <c r="AR66" s="17"/>
      <c r="AS66" s="8">
        <v>310</v>
      </c>
      <c r="AT66" s="18">
        <f t="shared" si="8"/>
        <v>2.4809448098330161E-2</v>
      </c>
      <c r="AU66" s="8">
        <f t="shared" si="3"/>
        <v>1.5947205840767902E-2</v>
      </c>
      <c r="AV66" s="8">
        <f t="shared" si="4"/>
        <v>-1.9005139852574519E-2</v>
      </c>
      <c r="AW66" s="17"/>
      <c r="AX66" s="17"/>
      <c r="AY66" s="17"/>
      <c r="AZ66" s="17"/>
    </row>
    <row r="67" spans="40:52" ht="15.95" customHeight="1" x14ac:dyDescent="0.25">
      <c r="AN67" s="8">
        <v>315</v>
      </c>
      <c r="AO67" s="18">
        <f>Dimensionamento!$T$18/2</f>
        <v>0.62023620245825406</v>
      </c>
      <c r="AP67" s="8">
        <f t="shared" si="6"/>
        <v>0.43857322469562371</v>
      </c>
      <c r="AQ67" s="8">
        <f t="shared" si="7"/>
        <v>-0.43857322469562393</v>
      </c>
      <c r="AR67" s="17"/>
      <c r="AS67" s="8">
        <v>315</v>
      </c>
      <c r="AT67" s="18">
        <f t="shared" si="8"/>
        <v>2.4809448098330161E-2</v>
      </c>
      <c r="AU67" s="8">
        <f t="shared" si="3"/>
        <v>1.754292898782495E-2</v>
      </c>
      <c r="AV67" s="8">
        <f t="shared" si="4"/>
        <v>-1.7542928987824957E-2</v>
      </c>
      <c r="AW67" s="17"/>
      <c r="AX67" s="17"/>
      <c r="AY67" s="17"/>
      <c r="AZ67" s="17"/>
    </row>
    <row r="68" spans="40:52" ht="15.95" customHeight="1" x14ac:dyDescent="0.25">
      <c r="AN68" s="8">
        <v>320</v>
      </c>
      <c r="AO68" s="18">
        <f>Dimensionamento!$T$18/2</f>
        <v>0.62023620245825406</v>
      </c>
      <c r="AP68" s="8">
        <f t="shared" si="6"/>
        <v>0.47512849631436277</v>
      </c>
      <c r="AQ68" s="8">
        <f t="shared" si="7"/>
        <v>-0.39868014601919777</v>
      </c>
      <c r="AR68" s="17"/>
      <c r="AS68" s="8">
        <v>320</v>
      </c>
      <c r="AT68" s="18">
        <f t="shared" si="8"/>
        <v>2.4809448098330161E-2</v>
      </c>
      <c r="AU68" s="8">
        <f t="shared" si="3"/>
        <v>1.9005139852574512E-2</v>
      </c>
      <c r="AV68" s="8">
        <f t="shared" si="4"/>
        <v>-1.5947205840767909E-2</v>
      </c>
      <c r="AW68" s="17"/>
      <c r="AX68" s="17"/>
      <c r="AY68" s="17"/>
      <c r="AZ68" s="17"/>
    </row>
    <row r="69" spans="40:52" ht="15.95" customHeight="1" x14ac:dyDescent="0.25">
      <c r="AN69" s="8">
        <v>325</v>
      </c>
      <c r="AO69" s="18">
        <f>Dimensionamento!$T$18/2</f>
        <v>0.62023620245825406</v>
      </c>
      <c r="AP69" s="8">
        <f t="shared" ref="AP69:AP76" si="9">AO69*COS(RADIANS(AN69))</f>
        <v>0.50806775318571973</v>
      </c>
      <c r="AQ69" s="8">
        <f t="shared" ref="AQ69:AQ76" si="10">AO69*SIN(RADIANS(AN69))</f>
        <v>-0.35575287070191153</v>
      </c>
      <c r="AR69" s="17"/>
      <c r="AS69" s="8">
        <v>325</v>
      </c>
      <c r="AT69" s="18">
        <f t="shared" si="8"/>
        <v>2.4809448098330161E-2</v>
      </c>
      <c r="AU69" s="8">
        <f t="shared" si="3"/>
        <v>2.0322710127428787E-2</v>
      </c>
      <c r="AV69" s="8">
        <f t="shared" si="4"/>
        <v>-1.4230114828076462E-2</v>
      </c>
      <c r="AW69" s="17"/>
      <c r="AX69" s="17"/>
      <c r="AY69" s="17"/>
      <c r="AZ69" s="17"/>
    </row>
    <row r="70" spans="40:52" ht="15.95" customHeight="1" x14ac:dyDescent="0.25">
      <c r="AN70" s="8">
        <v>330</v>
      </c>
      <c r="AO70" s="18">
        <f>Dimensionamento!$T$18/2</f>
        <v>0.62023620245825406</v>
      </c>
      <c r="AP70" s="8">
        <f t="shared" si="9"/>
        <v>0.53714030767563614</v>
      </c>
      <c r="AQ70" s="8">
        <f t="shared" si="10"/>
        <v>-0.31011810122912731</v>
      </c>
      <c r="AR70" s="17"/>
      <c r="AS70" s="8">
        <v>330</v>
      </c>
      <c r="AT70" s="18">
        <f t="shared" ref="AT70:AT76" si="11">$I$15/2</f>
        <v>2.4809448098330161E-2</v>
      </c>
      <c r="AU70" s="8">
        <f t="shared" ref="AU70:AU76" si="12">AT70*COS(RADIANS(AS70))</f>
        <v>2.1485612307025444E-2</v>
      </c>
      <c r="AV70" s="8">
        <f t="shared" ref="AV70:AV76" si="13">AT70*SIN(RADIANS(AS70))</f>
        <v>-1.2404724049165091E-2</v>
      </c>
      <c r="AW70" s="17"/>
      <c r="AX70" s="17"/>
      <c r="AY70" s="17"/>
      <c r="AZ70" s="17"/>
    </row>
    <row r="71" spans="40:52" ht="15.95" customHeight="1" x14ac:dyDescent="0.25">
      <c r="AN71" s="8">
        <v>335</v>
      </c>
      <c r="AO71" s="18">
        <f>Dimensionamento!$T$18/2</f>
        <v>0.62023620245825406</v>
      </c>
      <c r="AP71" s="8">
        <f t="shared" si="9"/>
        <v>0.56212490008995586</v>
      </c>
      <c r="AQ71" s="8">
        <f t="shared" si="10"/>
        <v>-0.26212314575155971</v>
      </c>
      <c r="AR71" s="17"/>
      <c r="AS71" s="8">
        <v>335</v>
      </c>
      <c r="AT71" s="18">
        <f t="shared" si="11"/>
        <v>2.4809448098330161E-2</v>
      </c>
      <c r="AU71" s="8">
        <f t="shared" si="12"/>
        <v>2.2484996003598233E-2</v>
      </c>
      <c r="AV71" s="8">
        <f t="shared" si="13"/>
        <v>-1.0484925830062389E-2</v>
      </c>
      <c r="AW71" s="17"/>
      <c r="AX71" s="17"/>
      <c r="AY71" s="17"/>
      <c r="AZ71" s="17"/>
    </row>
    <row r="72" spans="40:52" ht="15.95" customHeight="1" x14ac:dyDescent="0.25">
      <c r="AN72" s="8">
        <v>340</v>
      </c>
      <c r="AO72" s="18">
        <f>Dimensionamento!$T$18/2</f>
        <v>0.62023620245825406</v>
      </c>
      <c r="AP72" s="8">
        <f t="shared" si="9"/>
        <v>0.58283138259429601</v>
      </c>
      <c r="AQ72" s="8">
        <f t="shared" si="10"/>
        <v>-0.21213327486054046</v>
      </c>
      <c r="AR72" s="17"/>
      <c r="AS72" s="8">
        <v>340</v>
      </c>
      <c r="AT72" s="18">
        <f t="shared" si="11"/>
        <v>2.4809448098330161E-2</v>
      </c>
      <c r="AU72" s="8">
        <f t="shared" si="12"/>
        <v>2.3313255303771842E-2</v>
      </c>
      <c r="AV72" s="8">
        <f t="shared" si="13"/>
        <v>-8.485330994421619E-3</v>
      </c>
      <c r="AW72" s="17"/>
      <c r="AX72" s="17"/>
      <c r="AY72" s="17"/>
      <c r="AZ72" s="17"/>
    </row>
    <row r="73" spans="40:52" ht="15.95" customHeight="1" x14ac:dyDescent="0.25">
      <c r="AN73" s="8">
        <v>345</v>
      </c>
      <c r="AO73" s="18">
        <f>Dimensionamento!$T$18/2</f>
        <v>0.62023620245825406</v>
      </c>
      <c r="AP73" s="8">
        <f t="shared" si="9"/>
        <v>0.59910216635388291</v>
      </c>
      <c r="AQ73" s="8">
        <f t="shared" si="10"/>
        <v>-0.16052894165825901</v>
      </c>
      <c r="AR73" s="17"/>
      <c r="AS73" s="8">
        <v>345</v>
      </c>
      <c r="AT73" s="18">
        <f t="shared" si="11"/>
        <v>2.4809448098330161E-2</v>
      </c>
      <c r="AU73" s="8">
        <f t="shared" si="12"/>
        <v>2.3964086654155316E-2</v>
      </c>
      <c r="AV73" s="8">
        <f t="shared" si="13"/>
        <v>-6.4211576663303601E-3</v>
      </c>
      <c r="AW73" s="17"/>
      <c r="AX73" s="17"/>
      <c r="AY73" s="17"/>
      <c r="AZ73" s="17"/>
    </row>
    <row r="74" spans="40:52" ht="15.95" customHeight="1" x14ac:dyDescent="0.25">
      <c r="AN74" s="8">
        <v>350</v>
      </c>
      <c r="AO74" s="18">
        <f>Dimensionamento!$T$18/2</f>
        <v>0.62023620245825406</v>
      </c>
      <c r="AP74" s="8">
        <f t="shared" si="9"/>
        <v>0.61081342087973811</v>
      </c>
      <c r="AQ74" s="8">
        <f t="shared" si="10"/>
        <v>-0.1077028862799331</v>
      </c>
      <c r="AR74" s="17"/>
      <c r="AS74" s="8">
        <v>350</v>
      </c>
      <c r="AT74" s="18">
        <f t="shared" si="11"/>
        <v>2.4809448098330161E-2</v>
      </c>
      <c r="AU74" s="8">
        <f t="shared" si="12"/>
        <v>2.4432536835189523E-2</v>
      </c>
      <c r="AV74" s="8">
        <f t="shared" si="13"/>
        <v>-4.3081154511973238E-3</v>
      </c>
      <c r="AW74" s="17"/>
      <c r="AX74" s="17"/>
      <c r="AY74" s="17"/>
      <c r="AZ74" s="17"/>
    </row>
    <row r="75" spans="40:52" ht="15.95" customHeight="1" x14ac:dyDescent="0.25">
      <c r="AN75" s="8">
        <v>355</v>
      </c>
      <c r="AO75" s="18">
        <f>Dimensionamento!$T$18/2</f>
        <v>0.62023620245825406</v>
      </c>
      <c r="AP75" s="8">
        <f t="shared" si="9"/>
        <v>0.61787601645347112</v>
      </c>
      <c r="AQ75" s="8">
        <f t="shared" si="10"/>
        <v>-5.405714690423611E-2</v>
      </c>
      <c r="AR75" s="17"/>
      <c r="AS75" s="8">
        <v>355</v>
      </c>
      <c r="AT75" s="18">
        <f t="shared" si="11"/>
        <v>2.4809448098330161E-2</v>
      </c>
      <c r="AU75" s="8">
        <f t="shared" si="12"/>
        <v>2.4715040658138846E-2</v>
      </c>
      <c r="AV75" s="8">
        <f t="shared" si="13"/>
        <v>-2.1622858761694446E-3</v>
      </c>
      <c r="AW75" s="17"/>
      <c r="AX75" s="17"/>
      <c r="AY75" s="17"/>
      <c r="AZ75" s="17"/>
    </row>
    <row r="76" spans="40:52" ht="15.95" customHeight="1" x14ac:dyDescent="0.25">
      <c r="AN76" s="8">
        <v>360</v>
      </c>
      <c r="AO76" s="18">
        <f>Dimensionamento!$T$18/2</f>
        <v>0.62023620245825406</v>
      </c>
      <c r="AP76" s="8">
        <f t="shared" si="9"/>
        <v>0.62023620245825406</v>
      </c>
      <c r="AQ76" s="8">
        <f t="shared" si="10"/>
        <v>-1.51976285024024E-16</v>
      </c>
      <c r="AR76" s="17"/>
      <c r="AS76" s="8">
        <v>360</v>
      </c>
      <c r="AT76" s="18">
        <f t="shared" si="11"/>
        <v>2.4809448098330161E-2</v>
      </c>
      <c r="AU76" s="8">
        <f t="shared" si="12"/>
        <v>2.4809448098330161E-2</v>
      </c>
      <c r="AV76" s="8">
        <f t="shared" si="13"/>
        <v>-6.0790514009609593E-18</v>
      </c>
      <c r="AW76" s="17"/>
      <c r="AX76" s="17"/>
      <c r="AY76" s="17"/>
      <c r="AZ76" s="17"/>
    </row>
    <row r="77" spans="40:52" ht="15.95" customHeight="1" x14ac:dyDescent="0.25">
      <c r="AO77" s="6"/>
    </row>
    <row r="78" spans="40:52" ht="15.95" customHeight="1" x14ac:dyDescent="0.25">
      <c r="AO78" s="6"/>
    </row>
    <row r="79" spans="40:52" ht="15.95" customHeight="1" x14ac:dyDescent="0.25">
      <c r="AO79" s="6"/>
    </row>
    <row r="80" spans="40:52" ht="15.95" customHeight="1" x14ac:dyDescent="0.25">
      <c r="AO80" s="6"/>
    </row>
    <row r="81" spans="41:41" ht="15.95" customHeight="1" x14ac:dyDescent="0.25">
      <c r="AO81" s="6"/>
    </row>
    <row r="82" spans="41:41" ht="15.95" customHeight="1" x14ac:dyDescent="0.25">
      <c r="AO82" s="6"/>
    </row>
    <row r="83" spans="41:41" ht="15.95" customHeight="1" x14ac:dyDescent="0.25">
      <c r="AO83" s="6"/>
    </row>
    <row r="84" spans="41:41" ht="15.95" customHeight="1" x14ac:dyDescent="0.25">
      <c r="AO84" s="6"/>
    </row>
    <row r="85" spans="41:41" ht="15.95" customHeight="1" x14ac:dyDescent="0.25">
      <c r="AO85" s="6"/>
    </row>
    <row r="86" spans="41:41" ht="15.95" customHeight="1" x14ac:dyDescent="0.25">
      <c r="AO86" s="6"/>
    </row>
    <row r="87" spans="41:41" ht="15.95" customHeight="1" x14ac:dyDescent="0.25">
      <c r="AO87" s="6"/>
    </row>
    <row r="88" spans="41:41" ht="15.95" customHeight="1" x14ac:dyDescent="0.25">
      <c r="AO88" s="6"/>
    </row>
    <row r="89" spans="41:41" ht="15.95" customHeight="1" x14ac:dyDescent="0.25">
      <c r="AO89" s="6"/>
    </row>
    <row r="90" spans="41:41" ht="15.95" customHeight="1" x14ac:dyDescent="0.25">
      <c r="AO90" s="6"/>
    </row>
    <row r="91" spans="41:41" ht="15.95" customHeight="1" x14ac:dyDescent="0.25">
      <c r="AO91" s="6"/>
    </row>
    <row r="92" spans="41:41" ht="15.95" customHeight="1" x14ac:dyDescent="0.25">
      <c r="AO92" s="6"/>
    </row>
    <row r="93" spans="41:41" ht="15.95" customHeight="1" x14ac:dyDescent="0.25">
      <c r="AO93" s="6"/>
    </row>
    <row r="94" spans="41:41" ht="15.95" customHeight="1" x14ac:dyDescent="0.25">
      <c r="AO94" s="6"/>
    </row>
    <row r="95" spans="41:41" ht="15.95" customHeight="1" x14ac:dyDescent="0.25">
      <c r="AO95" s="6"/>
    </row>
    <row r="96" spans="41:41" ht="15.95" customHeight="1" x14ac:dyDescent="0.25">
      <c r="AO96" s="6"/>
    </row>
    <row r="97" spans="41:41" ht="15.95" customHeight="1" x14ac:dyDescent="0.25">
      <c r="AO97" s="6"/>
    </row>
    <row r="98" spans="41:41" ht="15.95" customHeight="1" x14ac:dyDescent="0.25">
      <c r="AO98" s="6"/>
    </row>
    <row r="99" spans="41:41" ht="15.95" customHeight="1" x14ac:dyDescent="0.25">
      <c r="AO99" s="6"/>
    </row>
    <row r="100" spans="41:41" ht="15.95" customHeight="1" x14ac:dyDescent="0.25">
      <c r="AO100" s="6"/>
    </row>
    <row r="101" spans="41:41" ht="15.95" customHeight="1" x14ac:dyDescent="0.25">
      <c r="AO101" s="6"/>
    </row>
    <row r="102" spans="41:41" ht="15.95" customHeight="1" x14ac:dyDescent="0.25">
      <c r="AO102" s="6"/>
    </row>
    <row r="103" spans="41:41" ht="15.95" customHeight="1" x14ac:dyDescent="0.25">
      <c r="AO103" s="6"/>
    </row>
    <row r="104" spans="41:41" ht="15.95" customHeight="1" x14ac:dyDescent="0.25">
      <c r="AO104" s="6"/>
    </row>
    <row r="105" spans="41:41" ht="15.95" customHeight="1" x14ac:dyDescent="0.25">
      <c r="AO105" s="6"/>
    </row>
    <row r="106" spans="41:41" ht="15.95" customHeight="1" x14ac:dyDescent="0.25">
      <c r="AO106" s="6"/>
    </row>
    <row r="107" spans="41:41" ht="15.95" customHeight="1" x14ac:dyDescent="0.25">
      <c r="AO107" s="6"/>
    </row>
    <row r="108" spans="41:41" ht="15.95" customHeight="1" x14ac:dyDescent="0.25">
      <c r="AO108" s="6"/>
    </row>
    <row r="109" spans="41:41" ht="15.95" customHeight="1" x14ac:dyDescent="0.25">
      <c r="AO109" s="6"/>
    </row>
    <row r="110" spans="41:41" ht="15.95" customHeight="1" x14ac:dyDescent="0.25">
      <c r="AO110" s="6"/>
    </row>
    <row r="111" spans="41:41" ht="15.95" customHeight="1" x14ac:dyDescent="0.25">
      <c r="AO111" s="6"/>
    </row>
    <row r="112" spans="41:41" ht="15.95" customHeight="1" x14ac:dyDescent="0.25">
      <c r="AO112" s="6"/>
    </row>
    <row r="113" spans="41:41" ht="15.95" customHeight="1" x14ac:dyDescent="0.25">
      <c r="AO113" s="6"/>
    </row>
    <row r="114" spans="41:41" ht="15.95" customHeight="1" x14ac:dyDescent="0.25">
      <c r="AO114" s="6"/>
    </row>
    <row r="115" spans="41:41" ht="15.95" customHeight="1" x14ac:dyDescent="0.25">
      <c r="AO115" s="6"/>
    </row>
    <row r="116" spans="41:41" ht="15.95" customHeight="1" x14ac:dyDescent="0.25">
      <c r="AO116" s="6"/>
    </row>
    <row r="117" spans="41:41" ht="15.95" customHeight="1" x14ac:dyDescent="0.25">
      <c r="AO117" s="6"/>
    </row>
    <row r="118" spans="41:41" ht="15.95" customHeight="1" x14ac:dyDescent="0.25">
      <c r="AO118" s="6"/>
    </row>
    <row r="119" spans="41:41" ht="15.95" customHeight="1" x14ac:dyDescent="0.25">
      <c r="AO119" s="6"/>
    </row>
    <row r="120" spans="41:41" ht="15.95" customHeight="1" x14ac:dyDescent="0.25">
      <c r="AO120" s="6"/>
    </row>
    <row r="121" spans="41:41" ht="15.95" customHeight="1" x14ac:dyDescent="0.25">
      <c r="AO121" s="6"/>
    </row>
    <row r="122" spans="41:41" ht="15.95" customHeight="1" x14ac:dyDescent="0.25">
      <c r="AO122" s="6"/>
    </row>
    <row r="123" spans="41:41" ht="15.95" customHeight="1" x14ac:dyDescent="0.25">
      <c r="AO123" s="6"/>
    </row>
    <row r="124" spans="41:41" ht="15.95" customHeight="1" x14ac:dyDescent="0.25">
      <c r="AO124" s="6"/>
    </row>
    <row r="125" spans="41:41" ht="15.95" customHeight="1" x14ac:dyDescent="0.25">
      <c r="AO125" s="6"/>
    </row>
    <row r="126" spans="41:41" ht="15.95" customHeight="1" x14ac:dyDescent="0.25">
      <c r="AO126" s="6"/>
    </row>
    <row r="127" spans="41:41" ht="15.95" customHeight="1" x14ac:dyDescent="0.25">
      <c r="AO127" s="6"/>
    </row>
    <row r="128" spans="41:41" ht="15.95" customHeight="1" x14ac:dyDescent="0.25">
      <c r="AO128" s="6"/>
    </row>
    <row r="129" spans="41:41" ht="15.95" customHeight="1" x14ac:dyDescent="0.25">
      <c r="AO129" s="6"/>
    </row>
    <row r="130" spans="41:41" ht="15.95" customHeight="1" x14ac:dyDescent="0.25">
      <c r="AO130" s="6"/>
    </row>
    <row r="131" spans="41:41" ht="15.95" customHeight="1" x14ac:dyDescent="0.25">
      <c r="AO131" s="6"/>
    </row>
    <row r="132" spans="41:41" ht="15.95" customHeight="1" x14ac:dyDescent="0.25">
      <c r="AO132" s="6"/>
    </row>
    <row r="133" spans="41:41" ht="15.95" customHeight="1" x14ac:dyDescent="0.25">
      <c r="AO133" s="6"/>
    </row>
    <row r="134" spans="41:41" ht="15.95" customHeight="1" x14ac:dyDescent="0.25">
      <c r="AO134" s="6"/>
    </row>
    <row r="135" spans="41:41" ht="15.95" customHeight="1" x14ac:dyDescent="0.25">
      <c r="AO135" s="6"/>
    </row>
    <row r="136" spans="41:41" ht="15.95" customHeight="1" x14ac:dyDescent="0.25">
      <c r="AO136" s="6"/>
    </row>
    <row r="137" spans="41:41" ht="15.95" customHeight="1" x14ac:dyDescent="0.25">
      <c r="AO137" s="6"/>
    </row>
    <row r="138" spans="41:41" ht="15.95" customHeight="1" x14ac:dyDescent="0.25">
      <c r="AO138" s="6"/>
    </row>
    <row r="139" spans="41:41" ht="15.95" customHeight="1" x14ac:dyDescent="0.25">
      <c r="AO139" s="6"/>
    </row>
    <row r="140" spans="41:41" ht="15.95" customHeight="1" x14ac:dyDescent="0.25">
      <c r="AO140" s="6"/>
    </row>
    <row r="141" spans="41:41" ht="15.95" customHeight="1" x14ac:dyDescent="0.25">
      <c r="AO141" s="6"/>
    </row>
    <row r="142" spans="41:41" ht="15.95" customHeight="1" x14ac:dyDescent="0.25">
      <c r="AO142" s="6"/>
    </row>
    <row r="143" spans="41:41" ht="15.95" customHeight="1" x14ac:dyDescent="0.25">
      <c r="AO143" s="6"/>
    </row>
    <row r="144" spans="41:41" ht="15.95" customHeight="1" x14ac:dyDescent="0.25">
      <c r="AO144" s="6"/>
    </row>
    <row r="145" spans="41:41" ht="15.95" customHeight="1" x14ac:dyDescent="0.25">
      <c r="AO145" s="6"/>
    </row>
    <row r="146" spans="41:41" ht="15.95" customHeight="1" x14ac:dyDescent="0.25">
      <c r="AO146" s="6"/>
    </row>
    <row r="147" spans="41:41" ht="15.95" customHeight="1" x14ac:dyDescent="0.25">
      <c r="AO147" s="6"/>
    </row>
    <row r="148" spans="41:41" ht="15.95" customHeight="1" x14ac:dyDescent="0.25">
      <c r="AO148" s="6"/>
    </row>
    <row r="149" spans="41:41" ht="15.95" customHeight="1" x14ac:dyDescent="0.25">
      <c r="AO149" s="6"/>
    </row>
    <row r="150" spans="41:41" ht="15.95" customHeight="1" x14ac:dyDescent="0.25">
      <c r="AO150" s="6"/>
    </row>
    <row r="151" spans="41:41" ht="15.95" customHeight="1" x14ac:dyDescent="0.25">
      <c r="AO151" s="6"/>
    </row>
    <row r="152" spans="41:41" ht="15.95" customHeight="1" x14ac:dyDescent="0.25">
      <c r="AO152" s="6"/>
    </row>
    <row r="153" spans="41:41" ht="15.95" customHeight="1" x14ac:dyDescent="0.25">
      <c r="AO153" s="6"/>
    </row>
    <row r="154" spans="41:41" ht="15.95" customHeight="1" x14ac:dyDescent="0.25">
      <c r="AO154" s="6"/>
    </row>
    <row r="155" spans="41:41" ht="15.95" customHeight="1" x14ac:dyDescent="0.25">
      <c r="AO155" s="6"/>
    </row>
    <row r="156" spans="41:41" ht="15.95" customHeight="1" x14ac:dyDescent="0.25">
      <c r="AO156" s="6"/>
    </row>
    <row r="157" spans="41:41" ht="15.95" customHeight="1" x14ac:dyDescent="0.25">
      <c r="AO157" s="6"/>
    </row>
    <row r="158" spans="41:41" ht="15.95" customHeight="1" x14ac:dyDescent="0.25">
      <c r="AO158" s="6"/>
    </row>
    <row r="159" spans="41:41" ht="15.95" customHeight="1" x14ac:dyDescent="0.25">
      <c r="AO159" s="6"/>
    </row>
    <row r="160" spans="41:41" ht="15.95" customHeight="1" x14ac:dyDescent="0.25">
      <c r="AO160" s="6"/>
    </row>
    <row r="161" spans="41:41" ht="15.95" customHeight="1" x14ac:dyDescent="0.25">
      <c r="AO161" s="6"/>
    </row>
    <row r="162" spans="41:41" ht="15.95" customHeight="1" x14ac:dyDescent="0.25">
      <c r="AO162" s="6"/>
    </row>
    <row r="163" spans="41:41" ht="15.95" customHeight="1" x14ac:dyDescent="0.25">
      <c r="AO163" s="6"/>
    </row>
    <row r="164" spans="41:41" x14ac:dyDescent="0.25">
      <c r="AO164" s="6"/>
    </row>
    <row r="165" spans="41:41" x14ac:dyDescent="0.25">
      <c r="AO165" s="6"/>
    </row>
    <row r="166" spans="41:41" x14ac:dyDescent="0.25">
      <c r="AO166" s="6"/>
    </row>
    <row r="167" spans="41:41" x14ac:dyDescent="0.25">
      <c r="AO167" s="6"/>
    </row>
    <row r="168" spans="41:41" x14ac:dyDescent="0.25">
      <c r="AO168" s="6"/>
    </row>
    <row r="169" spans="41:41" x14ac:dyDescent="0.25">
      <c r="AO169" s="6"/>
    </row>
    <row r="170" spans="41:41" x14ac:dyDescent="0.25">
      <c r="AO170" s="6"/>
    </row>
    <row r="171" spans="41:41" x14ac:dyDescent="0.25">
      <c r="AO171" s="6"/>
    </row>
    <row r="172" spans="41:41" x14ac:dyDescent="0.25">
      <c r="AO172" s="6"/>
    </row>
    <row r="173" spans="41:41" x14ac:dyDescent="0.25">
      <c r="AO173" s="6"/>
    </row>
    <row r="174" spans="41:41" x14ac:dyDescent="0.25">
      <c r="AO174" s="6"/>
    </row>
    <row r="175" spans="41:41" x14ac:dyDescent="0.25">
      <c r="AO175" s="6"/>
    </row>
    <row r="176" spans="41:41" x14ac:dyDescent="0.25">
      <c r="AO176" s="6"/>
    </row>
    <row r="177" spans="41:41" x14ac:dyDescent="0.25">
      <c r="AO177" s="6"/>
    </row>
    <row r="178" spans="41:41" x14ac:dyDescent="0.25">
      <c r="AO178" s="6"/>
    </row>
    <row r="179" spans="41:41" x14ac:dyDescent="0.25">
      <c r="AO179" s="6"/>
    </row>
    <row r="180" spans="41:41" x14ac:dyDescent="0.25">
      <c r="AO180" s="6"/>
    </row>
    <row r="181" spans="41:41" x14ac:dyDescent="0.25">
      <c r="AO181" s="6"/>
    </row>
    <row r="182" spans="41:41" x14ac:dyDescent="0.25">
      <c r="AO182" s="6"/>
    </row>
    <row r="183" spans="41:41" x14ac:dyDescent="0.25">
      <c r="AO183" s="6"/>
    </row>
    <row r="184" spans="41:41" x14ac:dyDescent="0.25">
      <c r="AO184" s="6"/>
    </row>
    <row r="185" spans="41:41" x14ac:dyDescent="0.25">
      <c r="AO185" s="6"/>
    </row>
    <row r="186" spans="41:41" x14ac:dyDescent="0.25">
      <c r="AO186" s="6"/>
    </row>
    <row r="187" spans="41:41" x14ac:dyDescent="0.25">
      <c r="AO187" s="6"/>
    </row>
    <row r="188" spans="41:41" x14ac:dyDescent="0.25">
      <c r="AO188" s="6"/>
    </row>
    <row r="189" spans="41:41" x14ac:dyDescent="0.25">
      <c r="AO189" s="6"/>
    </row>
    <row r="190" spans="41:41" x14ac:dyDescent="0.25">
      <c r="AO190" s="6"/>
    </row>
    <row r="191" spans="41:41" x14ac:dyDescent="0.25">
      <c r="AO191" s="6"/>
    </row>
    <row r="192" spans="41:41" x14ac:dyDescent="0.25">
      <c r="AO192" s="6"/>
    </row>
    <row r="193" spans="41:41" x14ac:dyDescent="0.25">
      <c r="AO193" s="6"/>
    </row>
    <row r="194" spans="41:41" x14ac:dyDescent="0.25">
      <c r="AO194" s="6"/>
    </row>
    <row r="195" spans="41:41" x14ac:dyDescent="0.25">
      <c r="AO195" s="6"/>
    </row>
    <row r="196" spans="41:41" x14ac:dyDescent="0.25">
      <c r="AO196" s="6"/>
    </row>
    <row r="197" spans="41:41" x14ac:dyDescent="0.25">
      <c r="AO197" s="6"/>
    </row>
    <row r="198" spans="41:41" x14ac:dyDescent="0.25">
      <c r="AO198" s="6"/>
    </row>
    <row r="199" spans="41:41" x14ac:dyDescent="0.25">
      <c r="AO199" s="6"/>
    </row>
    <row r="200" spans="41:41" x14ac:dyDescent="0.25">
      <c r="AO200" s="6"/>
    </row>
    <row r="201" spans="41:41" x14ac:dyDescent="0.25">
      <c r="AO201" s="6"/>
    </row>
    <row r="202" spans="41:41" x14ac:dyDescent="0.25">
      <c r="AO202" s="6"/>
    </row>
    <row r="203" spans="41:41" x14ac:dyDescent="0.25">
      <c r="AO203" s="6"/>
    </row>
    <row r="204" spans="41:41" x14ac:dyDescent="0.25">
      <c r="AO204" s="6"/>
    </row>
    <row r="205" spans="41:41" x14ac:dyDescent="0.25">
      <c r="AO205" s="6"/>
    </row>
    <row r="206" spans="41:41" x14ac:dyDescent="0.25">
      <c r="AO206" s="6"/>
    </row>
    <row r="207" spans="41:41" x14ac:dyDescent="0.25">
      <c r="AO207" s="6"/>
    </row>
    <row r="208" spans="41:41" x14ac:dyDescent="0.25">
      <c r="AO208" s="6"/>
    </row>
    <row r="209" spans="41:41" x14ac:dyDescent="0.25">
      <c r="AO209" s="6"/>
    </row>
    <row r="210" spans="41:41" x14ac:dyDescent="0.25">
      <c r="AO210" s="6"/>
    </row>
    <row r="211" spans="41:41" x14ac:dyDescent="0.25">
      <c r="AO211" s="6"/>
    </row>
    <row r="212" spans="41:41" x14ac:dyDescent="0.25">
      <c r="AO212" s="6"/>
    </row>
    <row r="213" spans="41:41" x14ac:dyDescent="0.25">
      <c r="AO213" s="6"/>
    </row>
    <row r="214" spans="41:41" x14ac:dyDescent="0.25">
      <c r="AO214" s="6"/>
    </row>
    <row r="215" spans="41:41" x14ac:dyDescent="0.25">
      <c r="AO215" s="6"/>
    </row>
    <row r="216" spans="41:41" x14ac:dyDescent="0.25">
      <c r="AO216" s="6"/>
    </row>
    <row r="217" spans="41:41" x14ac:dyDescent="0.25">
      <c r="AO217" s="6"/>
    </row>
    <row r="218" spans="41:41" x14ac:dyDescent="0.25">
      <c r="AO218" s="6"/>
    </row>
    <row r="219" spans="41:41" x14ac:dyDescent="0.25">
      <c r="AO219" s="6"/>
    </row>
    <row r="220" spans="41:41" x14ac:dyDescent="0.25">
      <c r="AO220" s="6"/>
    </row>
    <row r="221" spans="41:41" x14ac:dyDescent="0.25">
      <c r="AO221" s="6"/>
    </row>
    <row r="222" spans="41:41" x14ac:dyDescent="0.25">
      <c r="AO222" s="6"/>
    </row>
    <row r="223" spans="41:41" x14ac:dyDescent="0.25">
      <c r="AO223" s="6"/>
    </row>
    <row r="224" spans="41:41" x14ac:dyDescent="0.25">
      <c r="AO224" s="6"/>
    </row>
    <row r="225" spans="41:41" x14ac:dyDescent="0.25">
      <c r="AO225" s="6"/>
    </row>
    <row r="226" spans="41:41" x14ac:dyDescent="0.25">
      <c r="AO226" s="6"/>
    </row>
    <row r="227" spans="41:41" x14ac:dyDescent="0.25">
      <c r="AO227" s="6"/>
    </row>
    <row r="228" spans="41:41" x14ac:dyDescent="0.25">
      <c r="AO228" s="6"/>
    </row>
    <row r="229" spans="41:41" x14ac:dyDescent="0.25">
      <c r="AO229" s="6"/>
    </row>
    <row r="230" spans="41:41" x14ac:dyDescent="0.25">
      <c r="AO230" s="6"/>
    </row>
    <row r="231" spans="41:41" x14ac:dyDescent="0.25">
      <c r="AO231" s="6"/>
    </row>
    <row r="232" spans="41:41" x14ac:dyDescent="0.25">
      <c r="AO232" s="6"/>
    </row>
    <row r="233" spans="41:41" x14ac:dyDescent="0.25">
      <c r="AO233" s="6"/>
    </row>
    <row r="234" spans="41:41" x14ac:dyDescent="0.25">
      <c r="AO234" s="6"/>
    </row>
    <row r="235" spans="41:41" x14ac:dyDescent="0.25">
      <c r="AO235" s="6"/>
    </row>
    <row r="236" spans="41:41" x14ac:dyDescent="0.25">
      <c r="AO236" s="6"/>
    </row>
    <row r="237" spans="41:41" x14ac:dyDescent="0.25">
      <c r="AO237" s="6"/>
    </row>
    <row r="238" spans="41:41" x14ac:dyDescent="0.25">
      <c r="AO238" s="6"/>
    </row>
    <row r="239" spans="41:41" x14ac:dyDescent="0.25">
      <c r="AO239" s="6"/>
    </row>
    <row r="240" spans="41:41" x14ac:dyDescent="0.25">
      <c r="AO240" s="6"/>
    </row>
    <row r="241" spans="41:41" x14ac:dyDescent="0.25">
      <c r="AO241" s="6"/>
    </row>
    <row r="242" spans="41:41" x14ac:dyDescent="0.25">
      <c r="AO242" s="6"/>
    </row>
    <row r="243" spans="41:41" x14ac:dyDescent="0.25">
      <c r="AO243" s="6"/>
    </row>
    <row r="244" spans="41:41" x14ac:dyDescent="0.25">
      <c r="AO244" s="6"/>
    </row>
    <row r="245" spans="41:41" x14ac:dyDescent="0.25">
      <c r="AO245" s="6"/>
    </row>
    <row r="246" spans="41:41" x14ac:dyDescent="0.25">
      <c r="AO246" s="6"/>
    </row>
    <row r="247" spans="41:41" x14ac:dyDescent="0.25">
      <c r="AO247" s="6"/>
    </row>
    <row r="248" spans="41:41" x14ac:dyDescent="0.25">
      <c r="AO248" s="6"/>
    </row>
    <row r="249" spans="41:41" x14ac:dyDescent="0.25">
      <c r="AO249" s="6"/>
    </row>
    <row r="250" spans="41:41" x14ac:dyDescent="0.25">
      <c r="AO250" s="6"/>
    </row>
    <row r="251" spans="41:41" x14ac:dyDescent="0.25">
      <c r="AO251" s="6"/>
    </row>
    <row r="252" spans="41:41" x14ac:dyDescent="0.25">
      <c r="AO252" s="6"/>
    </row>
    <row r="253" spans="41:41" x14ac:dyDescent="0.25">
      <c r="AO253" s="6"/>
    </row>
    <row r="254" spans="41:41" x14ac:dyDescent="0.25">
      <c r="AO254" s="6"/>
    </row>
    <row r="255" spans="41:41" x14ac:dyDescent="0.25">
      <c r="AO255" s="6"/>
    </row>
    <row r="256" spans="41:41" x14ac:dyDescent="0.25">
      <c r="AO256" s="6"/>
    </row>
    <row r="257" spans="41:41" x14ac:dyDescent="0.25">
      <c r="AO257" s="6"/>
    </row>
    <row r="258" spans="41:41" x14ac:dyDescent="0.25">
      <c r="AO258" s="6"/>
    </row>
    <row r="259" spans="41:41" x14ac:dyDescent="0.25">
      <c r="AO259" s="6"/>
    </row>
    <row r="260" spans="41:41" x14ac:dyDescent="0.25">
      <c r="AO260" s="6"/>
    </row>
    <row r="261" spans="41:41" x14ac:dyDescent="0.25">
      <c r="AO261" s="6"/>
    </row>
    <row r="262" spans="41:41" x14ac:dyDescent="0.25">
      <c r="AO262" s="6"/>
    </row>
    <row r="263" spans="41:41" x14ac:dyDescent="0.25">
      <c r="AO263" s="6"/>
    </row>
    <row r="264" spans="41:41" x14ac:dyDescent="0.25">
      <c r="AO264" s="6"/>
    </row>
    <row r="265" spans="41:41" x14ac:dyDescent="0.25">
      <c r="AO265" s="6"/>
    </row>
    <row r="266" spans="41:41" x14ac:dyDescent="0.25">
      <c r="AO266" s="6"/>
    </row>
    <row r="267" spans="41:41" x14ac:dyDescent="0.25">
      <c r="AO267" s="6"/>
    </row>
    <row r="268" spans="41:41" x14ac:dyDescent="0.25">
      <c r="AO268" s="6"/>
    </row>
    <row r="269" spans="41:41" x14ac:dyDescent="0.25">
      <c r="AO269" s="6"/>
    </row>
    <row r="270" spans="41:41" x14ac:dyDescent="0.25">
      <c r="AO270" s="6"/>
    </row>
    <row r="271" spans="41:41" x14ac:dyDescent="0.25">
      <c r="AO271" s="6"/>
    </row>
    <row r="272" spans="41:41" x14ac:dyDescent="0.25">
      <c r="AO272" s="6"/>
    </row>
    <row r="273" spans="41:41" x14ac:dyDescent="0.25">
      <c r="AO273" s="6"/>
    </row>
    <row r="274" spans="41:41" x14ac:dyDescent="0.25">
      <c r="AO274" s="6"/>
    </row>
    <row r="275" spans="41:41" x14ac:dyDescent="0.25">
      <c r="AO275" s="6"/>
    </row>
    <row r="276" spans="41:41" x14ac:dyDescent="0.25">
      <c r="AO276" s="6"/>
    </row>
    <row r="277" spans="41:41" x14ac:dyDescent="0.25">
      <c r="AO277" s="6"/>
    </row>
    <row r="278" spans="41:41" x14ac:dyDescent="0.25">
      <c r="AO278" s="6"/>
    </row>
    <row r="279" spans="41:41" x14ac:dyDescent="0.25">
      <c r="AO279" s="6"/>
    </row>
    <row r="280" spans="41:41" x14ac:dyDescent="0.25">
      <c r="AO280" s="6"/>
    </row>
    <row r="281" spans="41:41" x14ac:dyDescent="0.25">
      <c r="AO281" s="6"/>
    </row>
    <row r="282" spans="41:41" x14ac:dyDescent="0.25">
      <c r="AO282" s="6"/>
    </row>
    <row r="283" spans="41:41" x14ac:dyDescent="0.25">
      <c r="AO283" s="6"/>
    </row>
    <row r="284" spans="41:41" x14ac:dyDescent="0.25">
      <c r="AO284" s="6"/>
    </row>
    <row r="285" spans="41:41" x14ac:dyDescent="0.25">
      <c r="AO285" s="6"/>
    </row>
    <row r="286" spans="41:41" x14ac:dyDescent="0.25">
      <c r="AO286" s="6"/>
    </row>
    <row r="287" spans="41:41" x14ac:dyDescent="0.25">
      <c r="AO287" s="6"/>
    </row>
    <row r="288" spans="41:41" x14ac:dyDescent="0.25">
      <c r="AO288" s="6"/>
    </row>
    <row r="289" spans="41:41" x14ac:dyDescent="0.25">
      <c r="AO289" s="6"/>
    </row>
    <row r="290" spans="41:41" x14ac:dyDescent="0.25">
      <c r="AO290" s="6"/>
    </row>
    <row r="291" spans="41:41" x14ac:dyDescent="0.25">
      <c r="AO291" s="6"/>
    </row>
    <row r="292" spans="41:41" x14ac:dyDescent="0.25">
      <c r="AO292" s="6"/>
    </row>
    <row r="293" spans="41:41" x14ac:dyDescent="0.25">
      <c r="AO293" s="6"/>
    </row>
    <row r="294" spans="41:41" x14ac:dyDescent="0.25">
      <c r="AO294" s="6"/>
    </row>
    <row r="295" spans="41:41" x14ac:dyDescent="0.25">
      <c r="AO295" s="6"/>
    </row>
    <row r="296" spans="41:41" x14ac:dyDescent="0.25">
      <c r="AO296" s="6"/>
    </row>
    <row r="297" spans="41:41" x14ac:dyDescent="0.25">
      <c r="AO297" s="6"/>
    </row>
    <row r="298" spans="41:41" x14ac:dyDescent="0.25">
      <c r="AO298" s="6"/>
    </row>
    <row r="299" spans="41:41" x14ac:dyDescent="0.25">
      <c r="AO299" s="6"/>
    </row>
    <row r="300" spans="41:41" x14ac:dyDescent="0.25">
      <c r="AO300" s="6"/>
    </row>
    <row r="301" spans="41:41" x14ac:dyDescent="0.25">
      <c r="AO301" s="6"/>
    </row>
    <row r="302" spans="41:41" x14ac:dyDescent="0.25">
      <c r="AO302" s="6"/>
    </row>
    <row r="303" spans="41:41" x14ac:dyDescent="0.25">
      <c r="AO303" s="6"/>
    </row>
    <row r="304" spans="41:41" x14ac:dyDescent="0.25">
      <c r="AO304" s="6"/>
    </row>
    <row r="305" spans="41:41" x14ac:dyDescent="0.25">
      <c r="AO305" s="6"/>
    </row>
    <row r="306" spans="41:41" x14ac:dyDescent="0.25">
      <c r="AO306" s="6"/>
    </row>
    <row r="307" spans="41:41" x14ac:dyDescent="0.25">
      <c r="AO307" s="6"/>
    </row>
    <row r="308" spans="41:41" x14ac:dyDescent="0.25">
      <c r="AO308" s="6"/>
    </row>
    <row r="309" spans="41:41" x14ac:dyDescent="0.25">
      <c r="AO309" s="6"/>
    </row>
    <row r="310" spans="41:41" x14ac:dyDescent="0.25">
      <c r="AO310" s="6"/>
    </row>
    <row r="311" spans="41:41" x14ac:dyDescent="0.25">
      <c r="AO311" s="6"/>
    </row>
    <row r="312" spans="41:41" x14ac:dyDescent="0.25">
      <c r="AO312" s="6"/>
    </row>
    <row r="313" spans="41:41" x14ac:dyDescent="0.25">
      <c r="AO313" s="6"/>
    </row>
    <row r="314" spans="41:41" x14ac:dyDescent="0.25">
      <c r="AO314" s="6"/>
    </row>
    <row r="315" spans="41:41" x14ac:dyDescent="0.25">
      <c r="AO315" s="6"/>
    </row>
    <row r="316" spans="41:41" x14ac:dyDescent="0.25">
      <c r="AO316" s="6"/>
    </row>
    <row r="317" spans="41:41" x14ac:dyDescent="0.25">
      <c r="AO317" s="6"/>
    </row>
    <row r="318" spans="41:41" x14ac:dyDescent="0.25">
      <c r="AO318" s="6"/>
    </row>
    <row r="319" spans="41:41" x14ac:dyDescent="0.25">
      <c r="AO319" s="6"/>
    </row>
    <row r="320" spans="41:41" x14ac:dyDescent="0.25">
      <c r="AO320" s="6"/>
    </row>
    <row r="321" spans="41:41" x14ac:dyDescent="0.25">
      <c r="AO321" s="6"/>
    </row>
    <row r="322" spans="41:41" x14ac:dyDescent="0.25">
      <c r="AO322" s="6"/>
    </row>
    <row r="323" spans="41:41" x14ac:dyDescent="0.25">
      <c r="AO323" s="6"/>
    </row>
    <row r="324" spans="41:41" x14ac:dyDescent="0.25">
      <c r="AO324" s="6"/>
    </row>
    <row r="325" spans="41:41" x14ac:dyDescent="0.25">
      <c r="AO325" s="6"/>
    </row>
    <row r="326" spans="41:41" x14ac:dyDescent="0.25">
      <c r="AO326" s="6"/>
    </row>
    <row r="327" spans="41:41" x14ac:dyDescent="0.25">
      <c r="AO327" s="6"/>
    </row>
    <row r="328" spans="41:41" x14ac:dyDescent="0.25">
      <c r="AO328" s="6"/>
    </row>
    <row r="329" spans="41:41" x14ac:dyDescent="0.25">
      <c r="AO329" s="6"/>
    </row>
    <row r="330" spans="41:41" x14ac:dyDescent="0.25">
      <c r="AO330" s="6"/>
    </row>
    <row r="331" spans="41:41" x14ac:dyDescent="0.25">
      <c r="AO331" s="6"/>
    </row>
    <row r="332" spans="41:41" x14ac:dyDescent="0.25">
      <c r="AO332" s="6"/>
    </row>
    <row r="333" spans="41:41" x14ac:dyDescent="0.25">
      <c r="AO333" s="6"/>
    </row>
    <row r="334" spans="41:41" x14ac:dyDescent="0.25">
      <c r="AO334" s="6"/>
    </row>
    <row r="335" spans="41:41" x14ac:dyDescent="0.25">
      <c r="AO335" s="6"/>
    </row>
    <row r="336" spans="41:41" x14ac:dyDescent="0.25">
      <c r="AO336" s="6"/>
    </row>
    <row r="337" spans="41:41" x14ac:dyDescent="0.25">
      <c r="AO337" s="6"/>
    </row>
    <row r="338" spans="41:41" x14ac:dyDescent="0.25">
      <c r="AO338" s="6"/>
    </row>
    <row r="339" spans="41:41" x14ac:dyDescent="0.25">
      <c r="AO339" s="6"/>
    </row>
    <row r="340" spans="41:41" x14ac:dyDescent="0.25">
      <c r="AO340" s="6"/>
    </row>
    <row r="341" spans="41:41" x14ac:dyDescent="0.25">
      <c r="AO341" s="6"/>
    </row>
    <row r="342" spans="41:41" x14ac:dyDescent="0.25">
      <c r="AO342" s="6"/>
    </row>
    <row r="343" spans="41:41" x14ac:dyDescent="0.25">
      <c r="AO343" s="6"/>
    </row>
    <row r="344" spans="41:41" x14ac:dyDescent="0.25">
      <c r="AO344" s="6"/>
    </row>
    <row r="345" spans="41:41" x14ac:dyDescent="0.25">
      <c r="AO345" s="6"/>
    </row>
    <row r="346" spans="41:41" x14ac:dyDescent="0.25">
      <c r="AO346" s="6"/>
    </row>
    <row r="347" spans="41:41" x14ac:dyDescent="0.25">
      <c r="AO347" s="6"/>
    </row>
    <row r="348" spans="41:41" x14ac:dyDescent="0.25">
      <c r="AO348" s="6"/>
    </row>
    <row r="349" spans="41:41" x14ac:dyDescent="0.25">
      <c r="AO349" s="6"/>
    </row>
    <row r="350" spans="41:41" x14ac:dyDescent="0.25">
      <c r="AO350" s="6"/>
    </row>
    <row r="351" spans="41:41" x14ac:dyDescent="0.25">
      <c r="AO351" s="6"/>
    </row>
    <row r="352" spans="41:41" x14ac:dyDescent="0.25">
      <c r="AO352" s="6"/>
    </row>
    <row r="353" spans="41:41" x14ac:dyDescent="0.25">
      <c r="AO353" s="6"/>
    </row>
    <row r="354" spans="41:41" x14ac:dyDescent="0.25">
      <c r="AO354" s="6"/>
    </row>
    <row r="355" spans="41:41" x14ac:dyDescent="0.25">
      <c r="AO355" s="6"/>
    </row>
    <row r="356" spans="41:41" x14ac:dyDescent="0.25">
      <c r="AO356" s="6"/>
    </row>
    <row r="357" spans="41:41" x14ac:dyDescent="0.25">
      <c r="AO357" s="6"/>
    </row>
    <row r="358" spans="41:41" x14ac:dyDescent="0.25">
      <c r="AO358" s="6"/>
    </row>
    <row r="359" spans="41:41" x14ac:dyDescent="0.25">
      <c r="AO359" s="6"/>
    </row>
    <row r="360" spans="41:41" x14ac:dyDescent="0.25">
      <c r="AO360" s="6"/>
    </row>
    <row r="361" spans="41:41" x14ac:dyDescent="0.25">
      <c r="AO361" s="6"/>
    </row>
    <row r="362" spans="41:41" x14ac:dyDescent="0.25">
      <c r="AO362" s="6"/>
    </row>
    <row r="363" spans="41:41" x14ac:dyDescent="0.25">
      <c r="AO363" s="6"/>
    </row>
    <row r="364" spans="41:41" x14ac:dyDescent="0.25">
      <c r="AO364" s="6"/>
    </row>
  </sheetData>
  <sheetProtection algorithmName="SHA-512" hashValue="X1s0fsSnmeORpZO4O/vYpDdSEWnll5E1D9S+D4I883BP5CJ/zmLReCwIRBEOFWny/R6WgVFQUoUsgR/4q+LzcQ==" saltValue="ELq+dB+T4oyDozH74pz5Uw==" spinCount="100000" sheet="1" objects="1" scenarios="1" selectLockedCells="1"/>
  <mergeCells count="22">
    <mergeCell ref="B11:B16"/>
    <mergeCell ref="AX3:AZ3"/>
    <mergeCell ref="AX4:AY4"/>
    <mergeCell ref="AX5:AY5"/>
    <mergeCell ref="AN3:AQ3"/>
    <mergeCell ref="AS3:AV3"/>
    <mergeCell ref="B3:T3"/>
    <mergeCell ref="B9:I9"/>
    <mergeCell ref="M9:T9"/>
    <mergeCell ref="R4:T6"/>
    <mergeCell ref="B4:Q6"/>
    <mergeCell ref="AX16:AY16"/>
    <mergeCell ref="AX14:AZ14"/>
    <mergeCell ref="AX15:AY15"/>
    <mergeCell ref="C11:I11"/>
    <mergeCell ref="I13:I14"/>
    <mergeCell ref="C16:G16"/>
    <mergeCell ref="H13:H14"/>
    <mergeCell ref="C14:G14"/>
    <mergeCell ref="C13:G13"/>
    <mergeCell ref="C12:G12"/>
    <mergeCell ref="C15:G15"/>
  </mergeCells>
  <pageMargins left="0.511811024" right="0.511811024" top="0.78740157499999996" bottom="0.78740157499999996" header="0.31496062000000002" footer="0.31496062000000002"/>
  <pageSetup paperSize="9" orientation="portrait" verticalDpi="12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CFBDE-1E78-41DC-AB92-761C3592C0B8}">
  <dimension ref="A1:AR105"/>
  <sheetViews>
    <sheetView showGridLines="0" showRowColHeaders="0" zoomScaleNormal="100" workbookViewId="0">
      <selection activeCell="I26" sqref="I26:I27"/>
    </sheetView>
  </sheetViews>
  <sheetFormatPr defaultRowHeight="15" x14ac:dyDescent="0.25"/>
  <cols>
    <col min="1" max="1" width="2.7109375" customWidth="1"/>
    <col min="2" max="2" width="5.7109375" customWidth="1"/>
    <col min="3" max="3" width="22.7109375" customWidth="1"/>
    <col min="4" max="5" width="2.7109375" customWidth="1"/>
    <col min="6" max="6" width="6.7109375" customWidth="1"/>
    <col min="7" max="7" width="26.7109375" customWidth="1"/>
    <col min="8" max="9" width="9.7109375" customWidth="1"/>
    <col min="10" max="10" width="3.7109375" customWidth="1"/>
    <col min="11" max="11" width="0.28515625" customWidth="1"/>
    <col min="12" max="12" width="3.7109375" customWidth="1"/>
    <col min="13" max="13" width="5.7109375" customWidth="1"/>
    <col min="14" max="14" width="22.7109375" customWidth="1"/>
    <col min="15" max="16" width="2.7109375" customWidth="1"/>
    <col min="17" max="17" width="6.7109375" customWidth="1"/>
    <col min="18" max="18" width="26.7109375" customWidth="1"/>
    <col min="19" max="20" width="9.7109375" customWidth="1"/>
    <col min="21" max="21" width="15.7109375" customWidth="1"/>
    <col min="22" max="23" width="9.140625" customWidth="1"/>
  </cols>
  <sheetData>
    <row r="1" spans="1:44" s="83" customFormat="1" ht="24.95" customHeight="1" x14ac:dyDescent="0.25">
      <c r="A1" s="84"/>
      <c r="B1" s="87" t="s">
        <v>225</v>
      </c>
      <c r="C1" s="77"/>
      <c r="D1" s="77"/>
      <c r="E1" s="77"/>
      <c r="F1" s="77"/>
      <c r="G1" s="77"/>
      <c r="H1" s="78"/>
      <c r="I1" s="81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</row>
    <row r="2" spans="1:44" ht="15.95" customHeight="1" x14ac:dyDescent="0.25"/>
    <row r="3" spans="1:44" ht="15.95" customHeight="1" x14ac:dyDescent="0.25">
      <c r="B3" s="307" t="s">
        <v>14</v>
      </c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</row>
    <row r="4" spans="1:44" ht="15.95" customHeight="1" x14ac:dyDescent="0.25">
      <c r="B4" s="315" t="s">
        <v>243</v>
      </c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37"/>
      <c r="S4" s="337"/>
      <c r="T4" s="337"/>
    </row>
    <row r="5" spans="1:44" ht="15.95" customHeight="1" x14ac:dyDescent="0.25"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37"/>
      <c r="S5" s="337"/>
      <c r="T5" s="337"/>
    </row>
    <row r="6" spans="1:44" ht="15.95" customHeight="1" x14ac:dyDescent="0.25"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  <c r="M6" s="315"/>
      <c r="N6" s="315"/>
      <c r="O6" s="315"/>
      <c r="P6" s="315"/>
      <c r="Q6" s="315"/>
      <c r="R6" s="337"/>
      <c r="S6" s="337"/>
      <c r="T6" s="337"/>
      <c r="AO6" s="356" t="s">
        <v>241</v>
      </c>
      <c r="AP6" s="356"/>
      <c r="AQ6" s="356"/>
      <c r="AR6" s="356"/>
    </row>
    <row r="7" spans="1:44" ht="15.95" customHeight="1" x14ac:dyDescent="0.25">
      <c r="B7" s="34"/>
      <c r="C7" s="34"/>
      <c r="D7" s="34"/>
      <c r="E7" s="34"/>
      <c r="F7" s="34"/>
      <c r="G7" s="38"/>
      <c r="H7" s="38"/>
      <c r="I7" s="38"/>
      <c r="AJ7" s="143"/>
      <c r="AO7" s="161" t="s">
        <v>24</v>
      </c>
      <c r="AP7" s="89" t="str">
        <f>"x [cm]"</f>
        <v>x [cm]</v>
      </c>
      <c r="AQ7" s="89" t="str">
        <f>"y [cm]"</f>
        <v>y [cm]</v>
      </c>
      <c r="AR7" s="89" t="str">
        <f>"-x [cm]"</f>
        <v>-x [cm]</v>
      </c>
    </row>
    <row r="8" spans="1:44" ht="15.95" customHeight="1" x14ac:dyDescent="0.25">
      <c r="B8" s="33"/>
      <c r="C8" s="33"/>
      <c r="D8" s="33"/>
      <c r="E8" s="33"/>
      <c r="F8" s="33"/>
      <c r="G8" s="39"/>
      <c r="H8" s="39"/>
      <c r="I8" s="39"/>
      <c r="W8" s="173"/>
      <c r="X8" s="173"/>
      <c r="Y8" s="173"/>
      <c r="AJ8" s="143"/>
      <c r="AO8" s="114" t="s">
        <v>133</v>
      </c>
      <c r="AP8" s="169">
        <v>0</v>
      </c>
      <c r="AQ8" s="169">
        <v>0</v>
      </c>
      <c r="AR8" s="169">
        <f>Gomos!I19*2</f>
        <v>1.2404724049165081</v>
      </c>
    </row>
    <row r="9" spans="1:44" ht="15.95" customHeight="1" x14ac:dyDescent="0.25">
      <c r="B9" s="248" t="s">
        <v>18</v>
      </c>
      <c r="C9" s="248"/>
      <c r="D9" s="248"/>
      <c r="E9" s="248"/>
      <c r="F9" s="248"/>
      <c r="G9" s="248"/>
      <c r="H9" s="248"/>
      <c r="I9" s="248"/>
      <c r="K9" s="29"/>
      <c r="M9" s="306" t="s">
        <v>19</v>
      </c>
      <c r="N9" s="306"/>
      <c r="O9" s="306"/>
      <c r="P9" s="306"/>
      <c r="Q9" s="306"/>
      <c r="R9" s="306"/>
      <c r="S9" s="306"/>
      <c r="T9" s="306"/>
      <c r="AG9" s="355"/>
      <c r="AH9" s="355"/>
      <c r="AI9" s="355"/>
      <c r="AJ9" s="355"/>
      <c r="AO9" s="114" t="s">
        <v>134</v>
      </c>
      <c r="AP9" s="169">
        <f>AP10/2</f>
        <v>0.31011810122912703</v>
      </c>
      <c r="AQ9" s="169">
        <f>AQ10/2</f>
        <v>-1.8346834290548788</v>
      </c>
      <c r="AR9" s="169">
        <f>AP9+Gomos!I19</f>
        <v>0.93035430368738115</v>
      </c>
    </row>
    <row r="10" spans="1:44" ht="15.95" customHeight="1" x14ac:dyDescent="0.25">
      <c r="K10" s="29"/>
      <c r="AG10" s="107"/>
      <c r="AH10" s="107"/>
      <c r="AI10" s="107"/>
      <c r="AJ10" s="107"/>
      <c r="AO10" s="114" t="s">
        <v>135</v>
      </c>
      <c r="AP10" s="169">
        <f>Gomos!I19</f>
        <v>0.62023620245825406</v>
      </c>
      <c r="AQ10" s="169">
        <f>-SIN(RADIANS(I32))*I22</f>
        <v>-3.6693668581097576</v>
      </c>
      <c r="AR10" s="169">
        <f>AP10</f>
        <v>0.62023620245825406</v>
      </c>
    </row>
    <row r="11" spans="1:44" ht="15.95" customHeight="1" x14ac:dyDescent="0.25">
      <c r="B11" s="292" t="s">
        <v>115</v>
      </c>
      <c r="C11" s="255" t="s">
        <v>221</v>
      </c>
      <c r="D11" s="255"/>
      <c r="E11" s="255"/>
      <c r="F11" s="255"/>
      <c r="G11" s="255"/>
      <c r="H11" s="255"/>
      <c r="I11" s="255"/>
      <c r="J11" s="2"/>
      <c r="K11" s="16"/>
      <c r="L11" s="17"/>
      <c r="M11" s="266" t="s">
        <v>238</v>
      </c>
      <c r="N11" s="255" t="s">
        <v>237</v>
      </c>
      <c r="O11" s="255"/>
      <c r="P11" s="255"/>
      <c r="Q11" s="255"/>
      <c r="R11" s="255"/>
      <c r="S11" s="255"/>
      <c r="T11" s="255"/>
      <c r="AG11" s="7"/>
      <c r="AH11" s="135"/>
      <c r="AI11" s="135"/>
      <c r="AJ11" s="135"/>
      <c r="AO11" s="172" t="str">
        <f>ROUND(I22,3)&amp;" m"</f>
        <v>3,721 m</v>
      </c>
    </row>
    <row r="12" spans="1:44" s="4" customFormat="1" ht="15.95" customHeight="1" x14ac:dyDescent="0.25">
      <c r="B12" s="292"/>
      <c r="C12" s="259" t="s">
        <v>33</v>
      </c>
      <c r="D12" s="260"/>
      <c r="E12" s="260"/>
      <c r="F12" s="260"/>
      <c r="G12" s="261"/>
      <c r="H12" s="85" t="s">
        <v>34</v>
      </c>
      <c r="I12" s="85" t="s">
        <v>35</v>
      </c>
      <c r="J12" s="7"/>
      <c r="K12" s="16"/>
      <c r="L12" s="17"/>
      <c r="M12" s="267"/>
      <c r="N12" s="259" t="s">
        <v>33</v>
      </c>
      <c r="O12" s="260"/>
      <c r="P12" s="260"/>
      <c r="Q12" s="260"/>
      <c r="R12" s="261"/>
      <c r="S12" s="85" t="s">
        <v>34</v>
      </c>
      <c r="T12" s="85" t="s">
        <v>35</v>
      </c>
      <c r="AG12" s="7"/>
      <c r="AH12" s="135"/>
      <c r="AI12" s="135"/>
      <c r="AJ12" s="135"/>
      <c r="AK12"/>
      <c r="AO12" s="172" t="str">
        <f>"θ: "&amp;ROUND(I32,1)&amp;" °"</f>
        <v>θ: 80,4 °</v>
      </c>
    </row>
    <row r="13" spans="1:44" ht="15.95" customHeight="1" x14ac:dyDescent="0.3">
      <c r="B13" s="292"/>
      <c r="C13" s="402" t="s">
        <v>220</v>
      </c>
      <c r="D13" s="403"/>
      <c r="E13" s="403"/>
      <c r="F13" s="403"/>
      <c r="G13" s="404"/>
      <c r="H13" s="344" t="s">
        <v>40</v>
      </c>
      <c r="I13" s="405">
        <v>3</v>
      </c>
      <c r="J13" s="2"/>
      <c r="K13" s="16"/>
      <c r="L13" s="17"/>
      <c r="M13" s="267"/>
      <c r="N13" s="276" t="s">
        <v>239</v>
      </c>
      <c r="O13" s="277"/>
      <c r="P13" s="277"/>
      <c r="Q13" s="277"/>
      <c r="R13" s="278"/>
      <c r="S13" s="40" t="s">
        <v>240</v>
      </c>
      <c r="T13" s="93">
        <f>Dimensionamento!I13/(I18*SIN(RADIANS(I32)))</f>
        <v>0.42257712736425829</v>
      </c>
      <c r="X13" s="143"/>
      <c r="AC13" s="4"/>
      <c r="AG13" s="7"/>
      <c r="AH13" s="135"/>
      <c r="AI13" s="135"/>
      <c r="AJ13" s="135"/>
      <c r="AO13" s="355"/>
      <c r="AP13" s="355"/>
      <c r="AQ13" s="355"/>
      <c r="AR13" s="355"/>
    </row>
    <row r="14" spans="1:44" ht="15.95" customHeight="1" x14ac:dyDescent="0.3">
      <c r="B14" s="292"/>
      <c r="C14" s="334" t="s">
        <v>233</v>
      </c>
      <c r="D14" s="335"/>
      <c r="E14" s="335"/>
      <c r="F14" s="335"/>
      <c r="G14" s="336"/>
      <c r="H14" s="345"/>
      <c r="I14" s="406"/>
      <c r="J14" s="2"/>
      <c r="K14" s="16"/>
      <c r="L14" s="17"/>
      <c r="AC14" s="4"/>
      <c r="AG14" s="7"/>
      <c r="AH14" s="135"/>
      <c r="AI14" s="135"/>
      <c r="AJ14" s="135"/>
      <c r="AO14" s="118"/>
      <c r="AP14" s="107"/>
      <c r="AQ14" s="107"/>
      <c r="AR14" s="107"/>
    </row>
    <row r="15" spans="1:44" ht="15.95" customHeight="1" x14ac:dyDescent="0.25">
      <c r="B15" s="20"/>
      <c r="C15" s="176"/>
      <c r="D15" s="176"/>
      <c r="E15" s="176"/>
      <c r="F15" s="176"/>
      <c r="G15" s="176"/>
      <c r="H15" s="177"/>
      <c r="I15" s="178"/>
      <c r="J15" s="2"/>
      <c r="K15" s="16"/>
      <c r="L15" s="17"/>
      <c r="M15" s="17"/>
      <c r="N15" s="17"/>
      <c r="O15" s="17"/>
      <c r="P15" s="17"/>
      <c r="AC15" s="4"/>
      <c r="AG15" s="7"/>
      <c r="AH15" s="135"/>
      <c r="AI15" s="135"/>
      <c r="AJ15" s="135"/>
      <c r="AO15" s="116"/>
      <c r="AP15" s="135"/>
      <c r="AQ15" s="135"/>
      <c r="AR15" s="135"/>
    </row>
    <row r="16" spans="1:44" ht="15.95" customHeight="1" x14ac:dyDescent="0.25">
      <c r="B16" s="266" t="s">
        <v>234</v>
      </c>
      <c r="C16" s="255" t="s">
        <v>236</v>
      </c>
      <c r="D16" s="255"/>
      <c r="E16" s="255"/>
      <c r="F16" s="255"/>
      <c r="G16" s="255"/>
      <c r="H16" s="255"/>
      <c r="I16" s="255"/>
      <c r="J16" s="2"/>
      <c r="K16" s="16"/>
      <c r="L16" s="17"/>
      <c r="M16" s="17"/>
      <c r="N16" s="17"/>
      <c r="O16" s="17"/>
      <c r="P16" s="17"/>
      <c r="AC16" s="4"/>
      <c r="AG16" s="7"/>
      <c r="AH16" s="135"/>
      <c r="AI16" s="135"/>
      <c r="AJ16" s="135"/>
      <c r="AO16" s="116"/>
      <c r="AP16" s="135"/>
      <c r="AQ16" s="135"/>
      <c r="AR16" s="135"/>
    </row>
    <row r="17" spans="2:44" s="3" customFormat="1" ht="15.95" customHeight="1" x14ac:dyDescent="0.25">
      <c r="B17" s="267"/>
      <c r="C17" s="259" t="s">
        <v>33</v>
      </c>
      <c r="D17" s="260"/>
      <c r="E17" s="260"/>
      <c r="F17" s="260"/>
      <c r="G17" s="261"/>
      <c r="H17" s="85" t="s">
        <v>34</v>
      </c>
      <c r="I17" s="85" t="s">
        <v>35</v>
      </c>
      <c r="J17" s="7"/>
      <c r="K17" s="16"/>
      <c r="L17" s="17"/>
      <c r="M17" s="17"/>
      <c r="N17" s="17"/>
      <c r="O17" s="2"/>
      <c r="P17" s="2"/>
      <c r="T17"/>
      <c r="U17"/>
      <c r="V17"/>
      <c r="AC17" s="4"/>
      <c r="AG17" s="7"/>
      <c r="AH17" s="135"/>
      <c r="AI17" s="135"/>
      <c r="AJ17" s="135"/>
      <c r="AO17" s="116"/>
      <c r="AP17" s="135"/>
      <c r="AQ17" s="135"/>
      <c r="AR17" s="135"/>
    </row>
    <row r="18" spans="2:44" s="3" customFormat="1" ht="15.95" customHeight="1" x14ac:dyDescent="0.25">
      <c r="B18" s="267"/>
      <c r="C18" s="252" t="s">
        <v>235</v>
      </c>
      <c r="D18" s="253"/>
      <c r="E18" s="253"/>
      <c r="F18" s="253"/>
      <c r="G18" s="254"/>
      <c r="H18" s="40" t="s">
        <v>40</v>
      </c>
      <c r="I18" s="45">
        <f>Gomos!I13</f>
        <v>12</v>
      </c>
      <c r="J18" s="7"/>
      <c r="K18" s="16"/>
      <c r="L18" s="17"/>
      <c r="M18" s="17"/>
      <c r="N18" s="17"/>
      <c r="O18" s="17"/>
      <c r="P18" s="17"/>
      <c r="T18"/>
      <c r="U18"/>
      <c r="V18"/>
      <c r="AC18" s="4"/>
      <c r="AG18" s="7"/>
      <c r="AH18" s="135"/>
      <c r="AI18" s="135"/>
      <c r="AJ18" s="135"/>
      <c r="AO18" s="167"/>
      <c r="AP18"/>
      <c r="AQ18"/>
      <c r="AR18"/>
    </row>
    <row r="19" spans="2:44" ht="15.95" customHeight="1" x14ac:dyDescent="0.25">
      <c r="B19" s="17"/>
      <c r="C19" s="17"/>
      <c r="D19" s="17"/>
      <c r="E19" s="17"/>
      <c r="F19" s="17"/>
      <c r="G19" s="17"/>
      <c r="H19" s="17"/>
      <c r="I19" s="17"/>
      <c r="J19" s="2"/>
      <c r="K19" s="16"/>
      <c r="L19" s="17"/>
      <c r="M19" s="17"/>
      <c r="N19" s="17"/>
      <c r="O19" s="17"/>
      <c r="P19" s="17"/>
      <c r="AC19" s="4"/>
      <c r="AG19" s="7"/>
      <c r="AH19" s="135"/>
      <c r="AI19" s="135"/>
      <c r="AJ19" s="135"/>
    </row>
    <row r="20" spans="2:44" ht="15.95" customHeight="1" x14ac:dyDescent="3.5">
      <c r="B20" s="349" t="s">
        <v>83</v>
      </c>
      <c r="C20" s="255" t="s">
        <v>219</v>
      </c>
      <c r="D20" s="255"/>
      <c r="E20" s="255"/>
      <c r="F20" s="255"/>
      <c r="G20" s="255"/>
      <c r="H20" s="255"/>
      <c r="I20" s="255"/>
      <c r="J20" s="2"/>
      <c r="K20" s="16"/>
      <c r="L20" s="17"/>
      <c r="M20" s="17"/>
      <c r="N20" s="17"/>
      <c r="O20" s="17"/>
      <c r="P20" s="17"/>
      <c r="T20" t="s">
        <v>242</v>
      </c>
      <c r="AC20" s="4"/>
      <c r="AG20" s="7"/>
      <c r="AH20" s="135"/>
      <c r="AI20" s="135"/>
      <c r="AJ20" s="135"/>
    </row>
    <row r="21" spans="2:44" ht="15.95" customHeight="1" x14ac:dyDescent="3.5">
      <c r="B21" s="350"/>
      <c r="C21" s="259" t="s">
        <v>33</v>
      </c>
      <c r="D21" s="260"/>
      <c r="E21" s="260"/>
      <c r="F21" s="260"/>
      <c r="G21" s="261"/>
      <c r="H21" s="85" t="s">
        <v>34</v>
      </c>
      <c r="I21" s="85" t="s">
        <v>35</v>
      </c>
      <c r="J21" s="2"/>
      <c r="K21" s="16"/>
      <c r="L21" s="2"/>
      <c r="M21" s="17"/>
      <c r="N21" s="17"/>
      <c r="O21" s="17"/>
      <c r="P21" s="17"/>
      <c r="U21" t="s">
        <v>242</v>
      </c>
      <c r="AC21" s="4"/>
      <c r="AG21" s="7"/>
      <c r="AH21" s="135"/>
      <c r="AI21" s="135"/>
      <c r="AJ21" s="135"/>
    </row>
    <row r="22" spans="2:44" ht="15.95" customHeight="1" x14ac:dyDescent="0.25">
      <c r="B22" s="350"/>
      <c r="C22" s="252" t="s">
        <v>218</v>
      </c>
      <c r="D22" s="253"/>
      <c r="E22" s="253"/>
      <c r="F22" s="253"/>
      <c r="G22" s="254"/>
      <c r="H22" s="40" t="s">
        <v>42</v>
      </c>
      <c r="I22" s="30">
        <f>Dimensionamento!T18*I13</f>
        <v>3.7214172147495246</v>
      </c>
      <c r="J22" s="2"/>
      <c r="K22" s="16"/>
      <c r="L22" s="17"/>
      <c r="N22" s="17"/>
      <c r="O22" s="17"/>
      <c r="P22" s="17"/>
      <c r="AC22" s="4"/>
      <c r="AG22" s="7"/>
      <c r="AH22" s="135"/>
      <c r="AI22" s="135"/>
      <c r="AJ22" s="135"/>
    </row>
    <row r="23" spans="2:44" ht="15.95" customHeight="1" x14ac:dyDescent="0.25">
      <c r="B23" s="170"/>
      <c r="C23" s="68"/>
      <c r="D23" s="68"/>
      <c r="E23" s="68"/>
      <c r="F23" s="68"/>
      <c r="G23" s="68"/>
      <c r="H23" s="42"/>
      <c r="I23" s="171"/>
      <c r="J23" s="2"/>
      <c r="K23" s="16"/>
      <c r="L23" s="17"/>
      <c r="N23" s="17"/>
      <c r="O23" s="17"/>
      <c r="P23" s="17"/>
      <c r="AG23" s="7"/>
      <c r="AH23" s="135"/>
      <c r="AI23" s="135"/>
      <c r="AJ23" s="135"/>
    </row>
    <row r="24" spans="2:44" ht="15.95" customHeight="1" x14ac:dyDescent="0.25">
      <c r="B24" s="346" t="s">
        <v>85</v>
      </c>
      <c r="C24" s="270" t="s">
        <v>174</v>
      </c>
      <c r="D24" s="271"/>
      <c r="E24" s="271"/>
      <c r="F24" s="271"/>
      <c r="G24" s="271"/>
      <c r="H24" s="271"/>
      <c r="I24" s="272"/>
      <c r="J24" s="17"/>
      <c r="K24" s="16"/>
      <c r="L24" s="17"/>
      <c r="M24" s="17"/>
      <c r="N24" s="17"/>
      <c r="O24" s="17"/>
      <c r="P24" s="17"/>
      <c r="AG24" s="7"/>
      <c r="AH24" s="135"/>
      <c r="AI24" s="135"/>
      <c r="AJ24" s="135"/>
    </row>
    <row r="25" spans="2:44" ht="15.95" customHeight="1" x14ac:dyDescent="0.25">
      <c r="B25" s="347"/>
      <c r="C25" s="259" t="s">
        <v>33</v>
      </c>
      <c r="D25" s="260"/>
      <c r="E25" s="260"/>
      <c r="F25" s="260"/>
      <c r="G25" s="261"/>
      <c r="H25" s="85" t="s">
        <v>34</v>
      </c>
      <c r="I25" s="85" t="s">
        <v>35</v>
      </c>
      <c r="J25" s="17"/>
      <c r="K25" s="16"/>
      <c r="L25" s="17"/>
      <c r="M25" s="17"/>
      <c r="N25" s="17"/>
      <c r="O25" s="17"/>
      <c r="P25" s="17"/>
      <c r="AG25" s="7"/>
      <c r="AH25" s="135"/>
      <c r="AI25" s="135"/>
      <c r="AJ25" s="135"/>
    </row>
    <row r="26" spans="2:44" ht="15.95" customHeight="1" x14ac:dyDescent="3.5">
      <c r="B26" s="347"/>
      <c r="C26" s="393" t="s">
        <v>222</v>
      </c>
      <c r="D26" s="394"/>
      <c r="E26" s="394"/>
      <c r="F26" s="394"/>
      <c r="G26" s="395"/>
      <c r="H26" s="338" t="s">
        <v>114</v>
      </c>
      <c r="I26" s="340">
        <v>20</v>
      </c>
      <c r="K26" s="28"/>
      <c r="W26" t="s">
        <v>242</v>
      </c>
      <c r="AG26" s="7"/>
      <c r="AH26" s="135"/>
      <c r="AI26" s="135"/>
      <c r="AJ26" s="135"/>
    </row>
    <row r="27" spans="2:44" ht="15.95" customHeight="1" x14ac:dyDescent="0.25">
      <c r="B27" s="347"/>
      <c r="C27" s="331" t="s">
        <v>272</v>
      </c>
      <c r="D27" s="332"/>
      <c r="E27" s="332"/>
      <c r="F27" s="332"/>
      <c r="G27" s="333"/>
      <c r="H27" s="339"/>
      <c r="I27" s="341"/>
      <c r="K27" s="28"/>
      <c r="AG27" s="7"/>
      <c r="AH27" s="135"/>
      <c r="AI27" s="135"/>
      <c r="AJ27" s="135"/>
    </row>
    <row r="28" spans="2:44" ht="15.95" customHeight="1" x14ac:dyDescent="0.25">
      <c r="B28" s="347"/>
      <c r="C28" s="252" t="s">
        <v>223</v>
      </c>
      <c r="D28" s="253"/>
      <c r="E28" s="253"/>
      <c r="F28" s="253"/>
      <c r="G28" s="254"/>
      <c r="H28" s="40" t="s">
        <v>42</v>
      </c>
      <c r="I28" s="93">
        <f>I22+I26/100</f>
        <v>3.9214172147495248</v>
      </c>
      <c r="K28" s="28"/>
      <c r="AG28" s="7"/>
      <c r="AH28" s="135"/>
      <c r="AI28" s="135"/>
      <c r="AJ28" s="135"/>
    </row>
    <row r="29" spans="2:44" ht="15.95" customHeight="1" x14ac:dyDescent="0.25">
      <c r="K29" s="28"/>
      <c r="AG29" s="7"/>
      <c r="AH29" s="135"/>
      <c r="AI29" s="135"/>
      <c r="AJ29" s="135"/>
    </row>
    <row r="30" spans="2:44" ht="15.95" customHeight="1" x14ac:dyDescent="0.25">
      <c r="B30" s="391" t="s">
        <v>116</v>
      </c>
      <c r="C30" s="255" t="s">
        <v>224</v>
      </c>
      <c r="D30" s="255"/>
      <c r="E30" s="255"/>
      <c r="F30" s="255"/>
      <c r="G30" s="255"/>
      <c r="H30" s="255"/>
      <c r="I30" s="255"/>
      <c r="K30" s="28"/>
      <c r="AG30" s="7"/>
      <c r="AH30" s="135"/>
      <c r="AI30" s="135"/>
      <c r="AJ30" s="135"/>
    </row>
    <row r="31" spans="2:44" ht="15.95" customHeight="1" x14ac:dyDescent="0.25">
      <c r="B31" s="392"/>
      <c r="C31" s="319" t="s">
        <v>33</v>
      </c>
      <c r="D31" s="319"/>
      <c r="E31" s="319"/>
      <c r="F31" s="319"/>
      <c r="G31" s="319"/>
      <c r="H31" s="85" t="s">
        <v>34</v>
      </c>
      <c r="I31" s="85" t="s">
        <v>35</v>
      </c>
      <c r="K31" s="28"/>
      <c r="AG31" s="7"/>
      <c r="AH31" s="135"/>
      <c r="AI31" s="135"/>
      <c r="AJ31" s="135"/>
    </row>
    <row r="32" spans="2:44" ht="15.95" customHeight="1" x14ac:dyDescent="0.25">
      <c r="B32" s="392"/>
      <c r="C32" s="396" t="s">
        <v>232</v>
      </c>
      <c r="D32" s="397"/>
      <c r="E32" s="397"/>
      <c r="F32" s="397"/>
      <c r="G32" s="398"/>
      <c r="H32" s="389" t="s">
        <v>48</v>
      </c>
      <c r="I32" s="390">
        <f>DEGREES(ACOS((Dimensionamento!T18/2)/I22))</f>
        <v>80.405931773139542</v>
      </c>
      <c r="K32" s="28"/>
      <c r="AG32" s="7"/>
      <c r="AH32" s="135"/>
      <c r="AI32" s="135"/>
      <c r="AJ32" s="135"/>
    </row>
    <row r="33" spans="2:36" ht="15.95" customHeight="1" x14ac:dyDescent="0.25">
      <c r="B33" s="392"/>
      <c r="C33" s="399" t="s">
        <v>226</v>
      </c>
      <c r="D33" s="400"/>
      <c r="E33" s="400"/>
      <c r="F33" s="400"/>
      <c r="G33" s="401"/>
      <c r="H33" s="389"/>
      <c r="I33" s="390"/>
      <c r="K33" s="28"/>
      <c r="AG33" s="7"/>
      <c r="AH33" s="135"/>
      <c r="AI33" s="135"/>
      <c r="AJ33" s="135"/>
    </row>
    <row r="34" spans="2:36" ht="15.95" customHeight="1" x14ac:dyDescent="0.25">
      <c r="AG34" s="7"/>
      <c r="AH34" s="135"/>
      <c r="AI34" s="135"/>
      <c r="AJ34" s="135"/>
    </row>
    <row r="35" spans="2:36" ht="15.95" customHeight="1" x14ac:dyDescent="0.25">
      <c r="AG35" s="7"/>
      <c r="AH35" s="135"/>
      <c r="AI35" s="135"/>
      <c r="AJ35" s="135"/>
    </row>
    <row r="36" spans="2:36" ht="15.95" customHeight="1" x14ac:dyDescent="0.25">
      <c r="AG36" s="7"/>
      <c r="AH36" s="135"/>
      <c r="AI36" s="135"/>
      <c r="AJ36" s="135"/>
    </row>
    <row r="37" spans="2:36" ht="15.95" customHeight="1" x14ac:dyDescent="0.25">
      <c r="AG37" s="7"/>
      <c r="AH37" s="135"/>
      <c r="AI37" s="135"/>
      <c r="AJ37" s="135"/>
    </row>
    <row r="38" spans="2:36" ht="15.95" customHeight="1" x14ac:dyDescent="0.25">
      <c r="AG38" s="7"/>
      <c r="AH38" s="135"/>
      <c r="AI38" s="135"/>
      <c r="AJ38" s="135"/>
    </row>
    <row r="39" spans="2:36" ht="15.95" customHeight="1" x14ac:dyDescent="0.25">
      <c r="AG39" s="7"/>
      <c r="AH39" s="135"/>
      <c r="AI39" s="135"/>
      <c r="AJ39" s="135"/>
    </row>
    <row r="40" spans="2:36" ht="15.95" customHeight="1" x14ac:dyDescent="0.25">
      <c r="AG40" s="7"/>
      <c r="AH40" s="135"/>
      <c r="AI40" s="135"/>
      <c r="AJ40" s="135"/>
    </row>
    <row r="41" spans="2:36" ht="15.95" customHeight="1" x14ac:dyDescent="0.25">
      <c r="AG41" s="7"/>
      <c r="AH41" s="135"/>
      <c r="AI41" s="135"/>
      <c r="AJ41" s="135"/>
    </row>
    <row r="42" spans="2:36" x14ac:dyDescent="0.25">
      <c r="AG42" s="7"/>
      <c r="AH42" s="135"/>
      <c r="AI42" s="135"/>
      <c r="AJ42" s="135"/>
    </row>
    <row r="43" spans="2:36" x14ac:dyDescent="0.25">
      <c r="AG43" s="7"/>
      <c r="AH43" s="135"/>
      <c r="AI43" s="135"/>
      <c r="AJ43" s="135"/>
    </row>
    <row r="44" spans="2:36" x14ac:dyDescent="0.25">
      <c r="AG44" s="7"/>
      <c r="AH44" s="135"/>
      <c r="AI44" s="135"/>
      <c r="AJ44" s="135"/>
    </row>
    <row r="45" spans="2:36" x14ac:dyDescent="0.25">
      <c r="AG45" s="7"/>
      <c r="AH45" s="135"/>
      <c r="AI45" s="135"/>
      <c r="AJ45" s="135"/>
    </row>
    <row r="46" spans="2:36" x14ac:dyDescent="0.25">
      <c r="AG46" s="7"/>
      <c r="AH46" s="135"/>
      <c r="AI46" s="135"/>
      <c r="AJ46" s="135"/>
    </row>
    <row r="47" spans="2:36" x14ac:dyDescent="0.25">
      <c r="AG47" s="7"/>
      <c r="AH47" s="135"/>
      <c r="AI47" s="135"/>
      <c r="AJ47" s="135"/>
    </row>
    <row r="48" spans="2:36" x14ac:dyDescent="0.25">
      <c r="AG48" s="7"/>
      <c r="AH48" s="135"/>
      <c r="AI48" s="135"/>
      <c r="AJ48" s="135"/>
    </row>
    <row r="49" spans="33:36" x14ac:dyDescent="0.25">
      <c r="AG49" s="7"/>
      <c r="AH49" s="135"/>
      <c r="AI49" s="135"/>
      <c r="AJ49" s="135"/>
    </row>
    <row r="50" spans="33:36" x14ac:dyDescent="0.25">
      <c r="AG50" s="7"/>
      <c r="AH50" s="135"/>
      <c r="AI50" s="135"/>
      <c r="AJ50" s="135"/>
    </row>
    <row r="51" spans="33:36" x14ac:dyDescent="0.25">
      <c r="AG51" s="7"/>
      <c r="AH51" s="135"/>
      <c r="AI51" s="135"/>
      <c r="AJ51" s="135"/>
    </row>
    <row r="52" spans="33:36" x14ac:dyDescent="0.25">
      <c r="AG52" s="7"/>
      <c r="AH52" s="135"/>
      <c r="AI52" s="135"/>
      <c r="AJ52" s="135"/>
    </row>
    <row r="53" spans="33:36" x14ac:dyDescent="0.25">
      <c r="AG53" s="7"/>
      <c r="AH53" s="135"/>
      <c r="AI53" s="135"/>
      <c r="AJ53" s="135"/>
    </row>
    <row r="54" spans="33:36" x14ac:dyDescent="0.25">
      <c r="AG54" s="7"/>
      <c r="AH54" s="135"/>
      <c r="AI54" s="135"/>
      <c r="AJ54" s="135"/>
    </row>
    <row r="55" spans="33:36" x14ac:dyDescent="0.25">
      <c r="AG55" s="7"/>
      <c r="AH55" s="135"/>
      <c r="AI55" s="135"/>
      <c r="AJ55" s="135"/>
    </row>
    <row r="56" spans="33:36" x14ac:dyDescent="0.25">
      <c r="AG56" s="7"/>
      <c r="AH56" s="135"/>
      <c r="AI56" s="135"/>
      <c r="AJ56" s="135"/>
    </row>
    <row r="57" spans="33:36" x14ac:dyDescent="0.25">
      <c r="AG57" s="7"/>
      <c r="AH57" s="135"/>
      <c r="AI57" s="135"/>
      <c r="AJ57" s="135"/>
    </row>
    <row r="58" spans="33:36" x14ac:dyDescent="0.25">
      <c r="AG58" s="7"/>
      <c r="AH58" s="135"/>
      <c r="AI58" s="135"/>
      <c r="AJ58" s="135"/>
    </row>
    <row r="59" spans="33:36" x14ac:dyDescent="0.25">
      <c r="AG59" s="7"/>
      <c r="AH59" s="135"/>
      <c r="AI59" s="135"/>
      <c r="AJ59" s="135"/>
    </row>
    <row r="60" spans="33:36" x14ac:dyDescent="0.25">
      <c r="AG60" s="7"/>
      <c r="AH60" s="135"/>
      <c r="AI60" s="135"/>
      <c r="AJ60" s="135"/>
    </row>
    <row r="61" spans="33:36" x14ac:dyDescent="0.25">
      <c r="AG61" s="7"/>
      <c r="AH61" s="135"/>
      <c r="AI61" s="135"/>
      <c r="AJ61" s="135"/>
    </row>
    <row r="62" spans="33:36" x14ac:dyDescent="0.25">
      <c r="AG62" s="7"/>
      <c r="AH62" s="135"/>
      <c r="AI62" s="135"/>
      <c r="AJ62" s="135"/>
    </row>
    <row r="63" spans="33:36" x14ac:dyDescent="0.25">
      <c r="AG63" s="7"/>
      <c r="AH63" s="135"/>
      <c r="AI63" s="135"/>
      <c r="AJ63" s="135"/>
    </row>
    <row r="64" spans="33:36" x14ac:dyDescent="0.25">
      <c r="AG64" s="7"/>
      <c r="AH64" s="135"/>
      <c r="AI64" s="135"/>
      <c r="AJ64" s="135"/>
    </row>
    <row r="65" spans="33:36" x14ac:dyDescent="0.25">
      <c r="AG65" s="7"/>
      <c r="AH65" s="135"/>
      <c r="AI65" s="135"/>
      <c r="AJ65" s="135"/>
    </row>
    <row r="66" spans="33:36" x14ac:dyDescent="0.25">
      <c r="AG66" s="7"/>
      <c r="AH66" s="135"/>
      <c r="AI66" s="135"/>
      <c r="AJ66" s="135"/>
    </row>
    <row r="67" spans="33:36" x14ac:dyDescent="0.25">
      <c r="AG67" s="7"/>
      <c r="AH67" s="135"/>
      <c r="AI67" s="135"/>
      <c r="AJ67" s="135"/>
    </row>
    <row r="68" spans="33:36" x14ac:dyDescent="0.25">
      <c r="AG68" s="7"/>
      <c r="AH68" s="135"/>
      <c r="AI68" s="135"/>
      <c r="AJ68" s="135"/>
    </row>
    <row r="69" spans="33:36" x14ac:dyDescent="0.25">
      <c r="AG69" s="7"/>
      <c r="AH69" s="135"/>
      <c r="AI69" s="135"/>
      <c r="AJ69" s="135"/>
    </row>
    <row r="70" spans="33:36" x14ac:dyDescent="0.25">
      <c r="AG70" s="7"/>
      <c r="AH70" s="135"/>
      <c r="AI70" s="135"/>
      <c r="AJ70" s="135"/>
    </row>
    <row r="71" spans="33:36" x14ac:dyDescent="0.25">
      <c r="AG71" s="7"/>
      <c r="AH71" s="135"/>
      <c r="AI71" s="135"/>
      <c r="AJ71" s="135"/>
    </row>
    <row r="72" spans="33:36" x14ac:dyDescent="0.25">
      <c r="AG72" s="7"/>
      <c r="AH72" s="135"/>
      <c r="AI72" s="135"/>
      <c r="AJ72" s="135"/>
    </row>
    <row r="73" spans="33:36" x14ac:dyDescent="0.25">
      <c r="AG73" s="7"/>
      <c r="AH73" s="135"/>
      <c r="AI73" s="135"/>
      <c r="AJ73" s="135"/>
    </row>
    <row r="74" spans="33:36" x14ac:dyDescent="0.25">
      <c r="AG74" s="7"/>
      <c r="AH74" s="135"/>
      <c r="AI74" s="135"/>
      <c r="AJ74" s="135"/>
    </row>
    <row r="75" spans="33:36" x14ac:dyDescent="0.25">
      <c r="AG75" s="7"/>
      <c r="AH75" s="135"/>
      <c r="AI75" s="135"/>
      <c r="AJ75" s="135"/>
    </row>
    <row r="76" spans="33:36" x14ac:dyDescent="0.25">
      <c r="AG76" s="7"/>
      <c r="AH76" s="135"/>
      <c r="AI76" s="135"/>
      <c r="AJ76" s="135"/>
    </row>
    <row r="77" spans="33:36" x14ac:dyDescent="0.25">
      <c r="AG77" s="7"/>
      <c r="AH77" s="135"/>
      <c r="AI77" s="135"/>
      <c r="AJ77" s="135"/>
    </row>
    <row r="78" spans="33:36" x14ac:dyDescent="0.25">
      <c r="AG78" s="7"/>
      <c r="AH78" s="135"/>
      <c r="AI78" s="135"/>
      <c r="AJ78" s="135"/>
    </row>
    <row r="79" spans="33:36" x14ac:dyDescent="0.25">
      <c r="AG79" s="7"/>
      <c r="AH79" s="135"/>
      <c r="AI79" s="135"/>
      <c r="AJ79" s="135"/>
    </row>
    <row r="80" spans="33:36" x14ac:dyDescent="0.25">
      <c r="AG80" s="7"/>
      <c r="AH80" s="135"/>
      <c r="AI80" s="135"/>
      <c r="AJ80" s="135"/>
    </row>
    <row r="81" spans="33:36" x14ac:dyDescent="0.25">
      <c r="AG81" s="7"/>
      <c r="AH81" s="135"/>
      <c r="AI81" s="135"/>
      <c r="AJ81" s="135"/>
    </row>
    <row r="82" spans="33:36" x14ac:dyDescent="0.25">
      <c r="AG82" s="7"/>
      <c r="AH82" s="135"/>
      <c r="AI82" s="135"/>
      <c r="AJ82" s="135"/>
    </row>
    <row r="83" spans="33:36" x14ac:dyDescent="0.25">
      <c r="AG83" s="7"/>
      <c r="AH83" s="135"/>
      <c r="AI83" s="135"/>
      <c r="AJ83" s="135"/>
    </row>
    <row r="84" spans="33:36" x14ac:dyDescent="0.25">
      <c r="AG84" s="7"/>
      <c r="AH84" s="135"/>
      <c r="AI84" s="135"/>
      <c r="AJ84" s="135"/>
    </row>
    <row r="85" spans="33:36" x14ac:dyDescent="0.25">
      <c r="AG85" s="7"/>
      <c r="AH85" s="135"/>
      <c r="AI85" s="135"/>
      <c r="AJ85" s="135"/>
    </row>
    <row r="86" spans="33:36" x14ac:dyDescent="0.25">
      <c r="AG86" s="7"/>
      <c r="AH86" s="135"/>
      <c r="AI86" s="135"/>
      <c r="AJ86" s="135"/>
    </row>
    <row r="87" spans="33:36" x14ac:dyDescent="0.25">
      <c r="AG87" s="7"/>
      <c r="AH87" s="135"/>
      <c r="AI87" s="135"/>
      <c r="AJ87" s="135"/>
    </row>
    <row r="88" spans="33:36" x14ac:dyDescent="0.25">
      <c r="AG88" s="7"/>
      <c r="AH88" s="135"/>
      <c r="AI88" s="135"/>
      <c r="AJ88" s="135"/>
    </row>
    <row r="89" spans="33:36" x14ac:dyDescent="0.25">
      <c r="AG89" s="7"/>
      <c r="AH89" s="135"/>
      <c r="AI89" s="135"/>
      <c r="AJ89" s="135"/>
    </row>
    <row r="90" spans="33:36" x14ac:dyDescent="0.25">
      <c r="AG90" s="7"/>
      <c r="AH90" s="135"/>
      <c r="AI90" s="135"/>
      <c r="AJ90" s="135"/>
    </row>
    <row r="91" spans="33:36" x14ac:dyDescent="0.25">
      <c r="AG91" s="7"/>
      <c r="AH91" s="135"/>
      <c r="AI91" s="135"/>
      <c r="AJ91" s="135"/>
    </row>
    <row r="92" spans="33:36" x14ac:dyDescent="0.25">
      <c r="AG92" s="7"/>
      <c r="AH92" s="135"/>
      <c r="AI92" s="135"/>
      <c r="AJ92" s="135"/>
    </row>
    <row r="93" spans="33:36" x14ac:dyDescent="0.25">
      <c r="AG93" s="7"/>
      <c r="AH93" s="135"/>
      <c r="AI93" s="135"/>
      <c r="AJ93" s="135"/>
    </row>
    <row r="94" spans="33:36" x14ac:dyDescent="0.25">
      <c r="AG94" s="7"/>
      <c r="AH94" s="135"/>
      <c r="AI94" s="135"/>
      <c r="AJ94" s="135"/>
    </row>
    <row r="95" spans="33:36" x14ac:dyDescent="0.25">
      <c r="AG95" s="7"/>
      <c r="AH95" s="135"/>
      <c r="AI95" s="135"/>
      <c r="AJ95" s="135"/>
    </row>
    <row r="96" spans="33:36" x14ac:dyDescent="0.25">
      <c r="AG96" s="7"/>
      <c r="AH96" s="135"/>
      <c r="AI96" s="135"/>
      <c r="AJ96" s="135"/>
    </row>
    <row r="97" spans="33:36" x14ac:dyDescent="0.25">
      <c r="AG97" s="7"/>
      <c r="AH97" s="135"/>
      <c r="AI97" s="135"/>
      <c r="AJ97" s="135"/>
    </row>
    <row r="98" spans="33:36" x14ac:dyDescent="0.25">
      <c r="AG98" s="7"/>
      <c r="AH98" s="135"/>
      <c r="AI98" s="135"/>
      <c r="AJ98" s="135"/>
    </row>
    <row r="99" spans="33:36" x14ac:dyDescent="0.25">
      <c r="AG99" s="7"/>
      <c r="AH99" s="135"/>
      <c r="AI99" s="135"/>
      <c r="AJ99" s="135"/>
    </row>
    <row r="100" spans="33:36" x14ac:dyDescent="0.25">
      <c r="AG100" s="7"/>
      <c r="AH100" s="135"/>
      <c r="AI100" s="135"/>
      <c r="AJ100" s="135"/>
    </row>
    <row r="101" spans="33:36" x14ac:dyDescent="0.25">
      <c r="AG101" s="7"/>
      <c r="AH101" s="135"/>
      <c r="AI101" s="135"/>
      <c r="AJ101" s="135"/>
    </row>
    <row r="102" spans="33:36" x14ac:dyDescent="0.25">
      <c r="AG102" s="7"/>
      <c r="AH102" s="135"/>
      <c r="AI102" s="135"/>
      <c r="AJ102" s="135"/>
    </row>
    <row r="103" spans="33:36" x14ac:dyDescent="0.25">
      <c r="AG103" s="7"/>
      <c r="AH103" s="135"/>
      <c r="AI103" s="135"/>
      <c r="AJ103" s="135"/>
    </row>
    <row r="104" spans="33:36" x14ac:dyDescent="0.25">
      <c r="AG104" s="7"/>
      <c r="AH104" s="135"/>
      <c r="AI104" s="135"/>
      <c r="AJ104" s="135"/>
    </row>
    <row r="105" spans="33:36" x14ac:dyDescent="0.25">
      <c r="AG105" s="7"/>
      <c r="AH105" s="135"/>
      <c r="AI105" s="135"/>
      <c r="AJ105" s="135"/>
    </row>
  </sheetData>
  <sheetProtection algorithmName="SHA-512" hashValue="savxTPRjuYhNdegnR1MsW8RsZJVEg+La+mJyBw5Rs2A7fZllZXFrANjZgkakVN9arsRxDD+sh0trbhoagRZdaA==" saltValue="CJiL004haHodAokZDxX21g==" spinCount="100000" sheet="1" objects="1" scenarios="1" selectLockedCells="1"/>
  <mergeCells count="42">
    <mergeCell ref="B3:T3"/>
    <mergeCell ref="B4:Q6"/>
    <mergeCell ref="R4:T6"/>
    <mergeCell ref="AO6:AR6"/>
    <mergeCell ref="B16:B18"/>
    <mergeCell ref="C16:I16"/>
    <mergeCell ref="C17:G17"/>
    <mergeCell ref="C18:G18"/>
    <mergeCell ref="N11:T11"/>
    <mergeCell ref="N12:R12"/>
    <mergeCell ref="N13:R13"/>
    <mergeCell ref="M11:M13"/>
    <mergeCell ref="AO13:AR13"/>
    <mergeCell ref="C22:G22"/>
    <mergeCell ref="B9:I9"/>
    <mergeCell ref="M9:T9"/>
    <mergeCell ref="AG9:AJ9"/>
    <mergeCell ref="B11:B14"/>
    <mergeCell ref="C11:I11"/>
    <mergeCell ref="C12:G12"/>
    <mergeCell ref="C13:G13"/>
    <mergeCell ref="H13:H14"/>
    <mergeCell ref="I13:I14"/>
    <mergeCell ref="C14:G14"/>
    <mergeCell ref="C20:I20"/>
    <mergeCell ref="C21:G21"/>
    <mergeCell ref="B20:B22"/>
    <mergeCell ref="B24:B28"/>
    <mergeCell ref="H32:H33"/>
    <mergeCell ref="I32:I33"/>
    <mergeCell ref="B30:B33"/>
    <mergeCell ref="C24:I24"/>
    <mergeCell ref="C25:G25"/>
    <mergeCell ref="C26:G26"/>
    <mergeCell ref="H26:H27"/>
    <mergeCell ref="I26:I27"/>
    <mergeCell ref="C27:G27"/>
    <mergeCell ref="C28:G28"/>
    <mergeCell ref="C30:I30"/>
    <mergeCell ref="C31:G31"/>
    <mergeCell ref="C32:G32"/>
    <mergeCell ref="C33:G33"/>
  </mergeCells>
  <conditionalFormatting sqref="I32:I33">
    <cfRule type="expression" dxfId="0" priority="1">
      <formula>IF($I$32&lt;70,1,0)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11">
    <tabColor theme="1" tint="0.249977111117893"/>
  </sheetPr>
  <dimension ref="A1:BA174"/>
  <sheetViews>
    <sheetView showGridLines="0" showRowColHeaders="0" zoomScaleNormal="100" workbookViewId="0">
      <selection activeCell="R26" sqref="R26"/>
    </sheetView>
  </sheetViews>
  <sheetFormatPr defaultRowHeight="15" x14ac:dyDescent="0.25"/>
  <cols>
    <col min="1" max="1" width="2.7109375" customWidth="1"/>
    <col min="2" max="2" width="5.7109375" customWidth="1"/>
    <col min="3" max="3" width="22.140625" bestFit="1" customWidth="1"/>
    <col min="4" max="4" width="5.7109375" bestFit="1" customWidth="1"/>
    <col min="5" max="5" width="13.7109375" customWidth="1"/>
    <col min="6" max="6" width="6.7109375" customWidth="1"/>
    <col min="7" max="7" width="8.7109375" customWidth="1"/>
    <col min="8" max="8" width="14.7109375" customWidth="1"/>
    <col min="9" max="9" width="1.7109375" customWidth="1"/>
    <col min="10" max="10" width="8.7109375" customWidth="1"/>
    <col min="11" max="11" width="14.7109375" customWidth="1"/>
    <col min="12" max="12" width="3.7109375" customWidth="1"/>
    <col min="13" max="13" width="9.85546875" customWidth="1"/>
    <col min="14" max="14" width="14.7109375" customWidth="1"/>
    <col min="15" max="15" width="7.28515625" customWidth="1"/>
    <col min="16" max="16" width="8.7109375" customWidth="1"/>
    <col min="17" max="17" width="14.7109375" customWidth="1"/>
    <col min="18" max="18" width="1.7109375" customWidth="1"/>
    <col min="19" max="19" width="8.7109375" customWidth="1"/>
    <col min="20" max="20" width="14.7109375" customWidth="1"/>
    <col min="21" max="21" width="7.28515625" customWidth="1"/>
    <col min="22" max="22" width="10" customWidth="1"/>
    <col min="23" max="23" width="14.7109375" customWidth="1"/>
    <col min="24" max="24" width="1.7109375" customWidth="1"/>
    <col min="25" max="25" width="9.140625" bestFit="1" customWidth="1"/>
    <col min="26" max="26" width="14.7109375" customWidth="1"/>
    <col min="27" max="27" width="3.7109375" customWidth="1"/>
    <col min="28" max="28" width="9.140625" customWidth="1"/>
    <col min="29" max="29" width="14.7109375" customWidth="1"/>
    <col min="30" max="30" width="7.42578125" customWidth="1"/>
    <col min="31" max="31" width="9.140625" customWidth="1"/>
    <col min="32" max="32" width="14.7109375" customWidth="1"/>
    <col min="33" max="33" width="1.7109375" customWidth="1"/>
    <col min="34" max="34" width="9.140625" customWidth="1"/>
    <col min="35" max="35" width="14.7109375" customWidth="1"/>
    <col min="36" max="36" width="3.7109375" customWidth="1"/>
    <col min="38" max="38" width="14.7109375" customWidth="1"/>
    <col min="41" max="41" width="6" customWidth="1"/>
    <col min="46" max="46" width="6.42578125" customWidth="1"/>
    <col min="47" max="47" width="11.7109375" customWidth="1"/>
    <col min="48" max="48" width="9.140625" style="6"/>
  </cols>
  <sheetData>
    <row r="1" spans="1:53" s="83" customFormat="1" ht="24.95" customHeight="1" x14ac:dyDescent="0.25">
      <c r="A1" s="86"/>
      <c r="B1" s="87" t="s">
        <v>93</v>
      </c>
      <c r="C1" s="77"/>
      <c r="D1" s="77"/>
      <c r="E1" s="77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</row>
    <row r="2" spans="1:53" ht="15.95" customHeight="1" x14ac:dyDescent="0.25">
      <c r="J2" s="1"/>
    </row>
    <row r="3" spans="1:53" ht="15.95" customHeight="1" x14ac:dyDescent="0.25"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</row>
    <row r="4" spans="1:53" ht="15.95" customHeight="1" x14ac:dyDescent="0.25"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</row>
    <row r="5" spans="1:53" ht="15.95" customHeight="1" x14ac:dyDescent="0.25"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57"/>
      <c r="W5" s="157"/>
      <c r="X5" s="157"/>
      <c r="Y5" s="157"/>
      <c r="Z5" s="157"/>
      <c r="AA5" s="157"/>
      <c r="AB5" s="157"/>
      <c r="AC5" s="157"/>
      <c r="AE5" s="157"/>
      <c r="AF5" s="157"/>
      <c r="AG5" s="157"/>
      <c r="AH5" s="157"/>
      <c r="AI5" s="157"/>
      <c r="AJ5" s="157"/>
      <c r="AK5" s="157"/>
      <c r="AL5" s="157"/>
    </row>
    <row r="6" spans="1:53" ht="15.95" customHeight="1" x14ac:dyDescent="0.25">
      <c r="F6" s="94"/>
      <c r="O6" s="168"/>
      <c r="U6" s="168"/>
      <c r="V6" s="416" t="s">
        <v>213</v>
      </c>
      <c r="W6" s="417"/>
      <c r="X6" s="417"/>
      <c r="Y6" s="417"/>
      <c r="Z6" s="417"/>
      <c r="AA6" s="417"/>
      <c r="AB6" s="417"/>
      <c r="AC6" s="418"/>
      <c r="AE6" s="419" t="s">
        <v>214</v>
      </c>
      <c r="AF6" s="420"/>
      <c r="AG6" s="420"/>
      <c r="AH6" s="420"/>
      <c r="AI6" s="420"/>
      <c r="AJ6" s="420"/>
      <c r="AK6" s="420"/>
      <c r="AL6" s="421"/>
    </row>
    <row r="7" spans="1:53" ht="15.95" customHeight="1" x14ac:dyDescent="0.25">
      <c r="B7" s="34"/>
      <c r="C7" s="34"/>
      <c r="D7" s="34"/>
      <c r="E7" s="34"/>
      <c r="F7" s="34"/>
      <c r="G7" s="34"/>
      <c r="H7" s="38"/>
      <c r="I7" s="38"/>
      <c r="J7" s="38"/>
      <c r="V7" s="144"/>
      <c r="W7" s="144"/>
      <c r="X7" s="144"/>
      <c r="Y7" s="144"/>
      <c r="Z7" s="144"/>
      <c r="AA7" s="144"/>
      <c r="AB7" s="144"/>
      <c r="AC7" s="144"/>
      <c r="AE7" s="144"/>
      <c r="AF7" s="144"/>
      <c r="AG7" s="144"/>
      <c r="AH7" s="144"/>
      <c r="AI7" s="144"/>
      <c r="AJ7" s="144"/>
      <c r="AK7" s="144"/>
      <c r="AL7" s="144"/>
    </row>
    <row r="8" spans="1:53" ht="15.95" customHeight="1" x14ac:dyDescent="0.25">
      <c r="B8" s="248" t="s">
        <v>217</v>
      </c>
      <c r="C8" s="248"/>
      <c r="D8" s="248"/>
      <c r="E8" s="248"/>
      <c r="F8" s="33"/>
      <c r="G8" s="248" t="s">
        <v>216</v>
      </c>
      <c r="H8" s="248"/>
      <c r="I8" s="248"/>
      <c r="J8" s="248"/>
      <c r="K8" s="248"/>
      <c r="L8" s="248"/>
      <c r="M8" s="248"/>
      <c r="N8" s="248"/>
      <c r="P8" s="248" t="s">
        <v>215</v>
      </c>
      <c r="Q8" s="248"/>
      <c r="R8" s="248"/>
      <c r="S8" s="248"/>
      <c r="T8" s="248"/>
      <c r="V8" s="248" t="s">
        <v>178</v>
      </c>
      <c r="W8" s="248"/>
      <c r="X8" s="248"/>
      <c r="Y8" s="248"/>
      <c r="Z8" s="248"/>
      <c r="AA8" s="144"/>
      <c r="AB8" s="248" t="s">
        <v>177</v>
      </c>
      <c r="AC8" s="248"/>
      <c r="AE8" s="248" t="s">
        <v>178</v>
      </c>
      <c r="AF8" s="248"/>
      <c r="AG8" s="248"/>
      <c r="AH8" s="248"/>
      <c r="AI8" s="248"/>
      <c r="AJ8" s="144"/>
      <c r="AK8" s="248" t="s">
        <v>177</v>
      </c>
      <c r="AL8" s="248"/>
    </row>
    <row r="9" spans="1:53" ht="15.95" customHeight="1" x14ac:dyDescent="0.25">
      <c r="B9" s="2"/>
      <c r="C9" s="2"/>
      <c r="D9" s="2"/>
      <c r="E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144"/>
      <c r="W9" s="144"/>
      <c r="X9" s="144"/>
      <c r="Y9" s="144"/>
      <c r="Z9" s="144"/>
      <c r="AA9" s="144"/>
      <c r="AB9" s="144"/>
      <c r="AC9" s="144"/>
      <c r="AE9" s="144"/>
      <c r="AF9" s="144"/>
      <c r="AG9" s="144"/>
      <c r="AH9" s="144"/>
      <c r="AI9" s="144"/>
      <c r="AJ9" s="144"/>
      <c r="AK9" s="144"/>
      <c r="AL9" s="144"/>
    </row>
    <row r="10" spans="1:53" ht="15.95" customHeight="1" x14ac:dyDescent="0.25">
      <c r="B10" s="301" t="s">
        <v>84</v>
      </c>
      <c r="C10" s="356" t="s">
        <v>139</v>
      </c>
      <c r="D10" s="356"/>
      <c r="E10" s="356"/>
      <c r="G10" s="414" t="s">
        <v>95</v>
      </c>
      <c r="H10" s="415"/>
      <c r="I10" s="10"/>
      <c r="J10" s="356" t="s">
        <v>96</v>
      </c>
      <c r="K10" s="356"/>
      <c r="L10" s="107"/>
      <c r="M10" s="356" t="s">
        <v>97</v>
      </c>
      <c r="N10" s="356"/>
      <c r="O10" s="120"/>
      <c r="P10" s="413" t="s">
        <v>98</v>
      </c>
      <c r="Q10" s="413"/>
      <c r="R10" s="120"/>
      <c r="S10" s="413" t="s">
        <v>97</v>
      </c>
      <c r="T10" s="413"/>
      <c r="U10" s="3"/>
      <c r="V10" s="408" t="s">
        <v>188</v>
      </c>
      <c r="W10" s="408"/>
      <c r="X10" s="144"/>
      <c r="Y10" s="408" t="s">
        <v>189</v>
      </c>
      <c r="Z10" s="408"/>
      <c r="AA10" s="144"/>
      <c r="AB10" s="408" t="s">
        <v>190</v>
      </c>
      <c r="AC10" s="408"/>
      <c r="AE10" s="408" t="s">
        <v>188</v>
      </c>
      <c r="AF10" s="408"/>
      <c r="AG10" s="144"/>
      <c r="AH10" s="408" t="s">
        <v>189</v>
      </c>
      <c r="AI10" s="408"/>
      <c r="AJ10" s="144"/>
      <c r="AK10" s="408" t="s">
        <v>190</v>
      </c>
      <c r="AL10" s="408"/>
      <c r="AP10" s="355"/>
      <c r="AQ10" s="355"/>
      <c r="AR10" s="355"/>
    </row>
    <row r="11" spans="1:53" ht="15.95" customHeight="1" x14ac:dyDescent="0.25">
      <c r="B11" s="302"/>
      <c r="C11" s="89" t="s">
        <v>33</v>
      </c>
      <c r="D11" s="89" t="s">
        <v>34</v>
      </c>
      <c r="E11" s="89" t="s">
        <v>35</v>
      </c>
      <c r="G11" s="113" t="s">
        <v>99</v>
      </c>
      <c r="H11" s="108" t="s">
        <v>100</v>
      </c>
      <c r="I11" s="11"/>
      <c r="J11" s="113" t="s">
        <v>99</v>
      </c>
      <c r="K11" s="108" t="s">
        <v>100</v>
      </c>
      <c r="L11" s="107"/>
      <c r="M11" s="113" t="s">
        <v>99</v>
      </c>
      <c r="N11" s="108" t="s">
        <v>100</v>
      </c>
      <c r="O11" s="120"/>
      <c r="P11" s="113" t="s">
        <v>99</v>
      </c>
      <c r="Q11" s="108" t="s">
        <v>100</v>
      </c>
      <c r="R11" s="120"/>
      <c r="S11" s="113" t="s">
        <v>99</v>
      </c>
      <c r="T11" s="108" t="s">
        <v>100</v>
      </c>
      <c r="U11" s="3"/>
      <c r="V11" s="409"/>
      <c r="W11" s="409"/>
      <c r="X11" s="120"/>
      <c r="Y11" s="409"/>
      <c r="Z11" s="409"/>
      <c r="AA11" s="120"/>
      <c r="AB11" s="409"/>
      <c r="AC11" s="409"/>
      <c r="AE11" s="409"/>
      <c r="AF11" s="409"/>
      <c r="AG11" s="120"/>
      <c r="AH11" s="409"/>
      <c r="AI11" s="409"/>
      <c r="AJ11" s="120"/>
      <c r="AK11" s="409"/>
      <c r="AL11" s="409"/>
      <c r="AP11" s="158"/>
      <c r="AQ11" s="407"/>
      <c r="AR11" s="407"/>
    </row>
    <row r="12" spans="1:53" ht="15.95" customHeight="1" x14ac:dyDescent="0.25">
      <c r="B12" s="302"/>
      <c r="C12" s="138" t="s">
        <v>140</v>
      </c>
      <c r="D12" s="136" t="s">
        <v>40</v>
      </c>
      <c r="E12" s="136">
        <f>Gomos!I13</f>
        <v>12</v>
      </c>
      <c r="G12" s="117" t="s">
        <v>143</v>
      </c>
      <c r="H12" s="109">
        <v>13.09</v>
      </c>
      <c r="I12" s="7"/>
      <c r="J12" s="117" t="s">
        <v>143</v>
      </c>
      <c r="K12" s="109">
        <v>19.635000000000002</v>
      </c>
      <c r="L12" s="7"/>
      <c r="M12" s="117" t="s">
        <v>194</v>
      </c>
      <c r="N12" s="109">
        <v>0</v>
      </c>
      <c r="O12" s="120"/>
      <c r="P12" s="151" t="s">
        <v>86</v>
      </c>
      <c r="Q12" s="152">
        <f t="shared" ref="Q12:Q19" si="0">IF($E$12=12,H12*$H$25,IF($E$12=8,K12*$H$25))</f>
        <v>16.237745809444021</v>
      </c>
      <c r="R12" s="120"/>
      <c r="S12" s="151" t="s">
        <v>101</v>
      </c>
      <c r="T12" s="152">
        <f t="shared" ref="T12:T19" si="1">N12*$H$25</f>
        <v>0</v>
      </c>
      <c r="U12" s="3"/>
      <c r="V12" s="161" t="s">
        <v>24</v>
      </c>
      <c r="W12" s="89" t="str">
        <f>"-x [cm]"</f>
        <v>-x [cm]</v>
      </c>
      <c r="X12" s="120"/>
      <c r="Y12" s="161" t="s">
        <v>24</v>
      </c>
      <c r="Z12" s="89" t="str">
        <f>"x [cm]"</f>
        <v>x [cm]</v>
      </c>
      <c r="AA12" s="120"/>
      <c r="AB12" s="161" t="s">
        <v>24</v>
      </c>
      <c r="AC12" s="89" t="str">
        <f>"y [cm]"</f>
        <v>y [cm]</v>
      </c>
      <c r="AE12" s="161" t="s">
        <v>24</v>
      </c>
      <c r="AF12" s="89" t="str">
        <f>"-x [cm]"</f>
        <v>-x [cm]</v>
      </c>
      <c r="AG12" s="2"/>
      <c r="AH12" s="161" t="s">
        <v>24</v>
      </c>
      <c r="AI12" s="89" t="str">
        <f>"x [cm]"</f>
        <v>x [cm]</v>
      </c>
      <c r="AJ12" s="2"/>
      <c r="AK12" s="161" t="s">
        <v>24</v>
      </c>
      <c r="AL12" s="89" t="str">
        <f>"y [cm]"</f>
        <v>y [cm]</v>
      </c>
      <c r="AP12" s="158"/>
      <c r="AQ12" s="407"/>
      <c r="AR12" s="407"/>
    </row>
    <row r="13" spans="1:53" ht="15.95" customHeight="1" x14ac:dyDescent="0.25">
      <c r="B13" s="302"/>
      <c r="C13" s="139" t="s">
        <v>141</v>
      </c>
      <c r="D13" s="140" t="s">
        <v>114</v>
      </c>
      <c r="E13" s="137">
        <f>Gomos!I23*100</f>
        <v>32.475491618888043</v>
      </c>
      <c r="G13" s="117" t="s">
        <v>144</v>
      </c>
      <c r="H13" s="109">
        <v>12.76</v>
      </c>
      <c r="I13" s="7"/>
      <c r="J13" s="117" t="s">
        <v>144</v>
      </c>
      <c r="K13" s="109">
        <v>18.933</v>
      </c>
      <c r="L13" s="7"/>
      <c r="M13" s="115" t="s">
        <v>195</v>
      </c>
      <c r="N13" s="109">
        <v>8</v>
      </c>
      <c r="O13" s="120"/>
      <c r="P13" s="151" t="s">
        <v>87</v>
      </c>
      <c r="Q13" s="152">
        <f t="shared" si="0"/>
        <v>15.828390873071482</v>
      </c>
      <c r="R13" s="120"/>
      <c r="S13" s="153" t="s">
        <v>102</v>
      </c>
      <c r="T13" s="152">
        <f t="shared" si="1"/>
        <v>9.9237560332736567</v>
      </c>
      <c r="U13" s="3"/>
      <c r="V13" s="147" t="str">
        <f>"-"&amp;Y13</f>
        <v>-P1</v>
      </c>
      <c r="W13" s="109">
        <f>-Z13</f>
        <v>-16.237745809444021</v>
      </c>
      <c r="X13" s="120"/>
      <c r="Y13" s="147" t="s">
        <v>133</v>
      </c>
      <c r="Z13" s="112">
        <f t="shared" ref="Z13:Z20" si="2">Q12</f>
        <v>16.237745809444021</v>
      </c>
      <c r="AA13" s="120"/>
      <c r="AB13" s="147" t="str">
        <f>Y13</f>
        <v>P1</v>
      </c>
      <c r="AC13" s="112">
        <f>T12</f>
        <v>0</v>
      </c>
      <c r="AE13" s="147" t="str">
        <f>"-"&amp;AH13</f>
        <v>-P0</v>
      </c>
      <c r="AF13" s="9">
        <f>-AI13</f>
        <v>-18.237745809444021</v>
      </c>
      <c r="AG13" s="149"/>
      <c r="AH13" s="147" t="s">
        <v>184</v>
      </c>
      <c r="AI13" s="9">
        <f>Z13+Gomos!$I$29</f>
        <v>18.237745809444021</v>
      </c>
      <c r="AJ13" s="150"/>
      <c r="AK13" s="147" t="s">
        <v>184</v>
      </c>
      <c r="AL13" s="19">
        <f>-Gomos!I29</f>
        <v>-2</v>
      </c>
      <c r="AP13" s="107"/>
      <c r="AQ13" s="107"/>
      <c r="AR13" s="107"/>
    </row>
    <row r="14" spans="1:53" ht="15.95" customHeight="1" x14ac:dyDescent="0.25">
      <c r="B14" s="302"/>
      <c r="C14" s="139" t="s">
        <v>142</v>
      </c>
      <c r="D14" s="140" t="s">
        <v>114</v>
      </c>
      <c r="E14" s="137">
        <f>Gomos!I24*100</f>
        <v>80.407421286688049</v>
      </c>
      <c r="G14" s="117" t="s">
        <v>145</v>
      </c>
      <c r="H14" s="109">
        <v>10.79</v>
      </c>
      <c r="I14" s="7"/>
      <c r="J14" s="117" t="s">
        <v>145</v>
      </c>
      <c r="K14" s="109">
        <v>16.12</v>
      </c>
      <c r="L14" s="7"/>
      <c r="M14" s="117" t="s">
        <v>196</v>
      </c>
      <c r="N14" s="109">
        <v>14</v>
      </c>
      <c r="O14" s="120"/>
      <c r="P14" s="151" t="s">
        <v>88</v>
      </c>
      <c r="Q14" s="152">
        <f t="shared" si="0"/>
        <v>13.384665949877844</v>
      </c>
      <c r="R14" s="120"/>
      <c r="S14" s="151" t="s">
        <v>104</v>
      </c>
      <c r="T14" s="152">
        <f t="shared" si="1"/>
        <v>17.366573058228898</v>
      </c>
      <c r="U14" s="3"/>
      <c r="V14" s="147" t="str">
        <f t="shared" ref="V14:V20" si="3">"-"&amp;Y14</f>
        <v>-P2</v>
      </c>
      <c r="W14" s="109">
        <f t="shared" ref="W14:W20" si="4">-Z14</f>
        <v>-15.828390873071482</v>
      </c>
      <c r="X14" s="120"/>
      <c r="Y14" s="147" t="s">
        <v>134</v>
      </c>
      <c r="Z14" s="112">
        <f t="shared" si="2"/>
        <v>15.828390873071482</v>
      </c>
      <c r="AA14" s="120"/>
      <c r="AB14" s="147" t="str">
        <f t="shared" ref="AB14:AB20" si="5">Y14</f>
        <v>P2</v>
      </c>
      <c r="AC14" s="112">
        <f t="shared" ref="AC14:AC20" si="6">T13+AC13</f>
        <v>9.9237560332736567</v>
      </c>
      <c r="AE14" s="147" t="str">
        <f>"-"&amp;AH14</f>
        <v>-P1</v>
      </c>
      <c r="AF14" s="18">
        <f>-AI14</f>
        <v>-18.237745809444021</v>
      </c>
      <c r="AG14" s="2"/>
      <c r="AH14" s="147" t="s">
        <v>133</v>
      </c>
      <c r="AI14" s="9">
        <f>Z13+Gomos!$I$29</f>
        <v>18.237745809444021</v>
      </c>
      <c r="AJ14" s="2"/>
      <c r="AK14" s="147" t="str">
        <f>AH14</f>
        <v>P1</v>
      </c>
      <c r="AL14" s="19">
        <v>0</v>
      </c>
      <c r="AP14" s="7"/>
      <c r="AQ14" s="5"/>
      <c r="AR14" s="5"/>
    </row>
    <row r="15" spans="1:53" ht="15.95" customHeight="1" x14ac:dyDescent="0.25">
      <c r="G15" s="117" t="s">
        <v>152</v>
      </c>
      <c r="H15" s="109">
        <v>8.6</v>
      </c>
      <c r="I15" s="7"/>
      <c r="J15" s="117" t="s">
        <v>152</v>
      </c>
      <c r="K15" s="109">
        <v>12.97</v>
      </c>
      <c r="L15" s="7"/>
      <c r="M15" s="115" t="s">
        <v>197</v>
      </c>
      <c r="N15" s="109">
        <v>10</v>
      </c>
      <c r="O15" s="120"/>
      <c r="P15" s="151" t="s">
        <v>89</v>
      </c>
      <c r="Q15" s="152">
        <f t="shared" si="0"/>
        <v>10.668037735769181</v>
      </c>
      <c r="R15" s="120"/>
      <c r="S15" s="153" t="s">
        <v>106</v>
      </c>
      <c r="T15" s="152">
        <f t="shared" si="1"/>
        <v>12.40469504159207</v>
      </c>
      <c r="U15" s="3"/>
      <c r="V15" s="147" t="str">
        <f t="shared" si="3"/>
        <v>-P3</v>
      </c>
      <c r="W15" s="109">
        <f t="shared" si="4"/>
        <v>-13.384665949877844</v>
      </c>
      <c r="X15" s="120"/>
      <c r="Y15" s="147" t="s">
        <v>135</v>
      </c>
      <c r="Z15" s="112">
        <f t="shared" si="2"/>
        <v>13.384665949877844</v>
      </c>
      <c r="AA15" s="120"/>
      <c r="AB15" s="147" t="str">
        <f t="shared" si="5"/>
        <v>P3</v>
      </c>
      <c r="AC15" s="112">
        <f t="shared" si="6"/>
        <v>27.290329091502556</v>
      </c>
      <c r="AE15" s="147" t="str">
        <f t="shared" ref="AE15:AE21" si="7">"-"&amp;AH15</f>
        <v>-P2</v>
      </c>
      <c r="AF15" s="18">
        <f t="shared" ref="AF15:AF21" si="8">-AI15</f>
        <v>-17.828390873071484</v>
      </c>
      <c r="AG15" s="2"/>
      <c r="AH15" s="147" t="s">
        <v>134</v>
      </c>
      <c r="AI15" s="9">
        <f>Z14+Gomos!$I$29</f>
        <v>17.828390873071484</v>
      </c>
      <c r="AJ15" s="2"/>
      <c r="AK15" s="147" t="str">
        <f t="shared" ref="AK15:AK21" si="9">AH15</f>
        <v>P2</v>
      </c>
      <c r="AL15" s="19">
        <f t="shared" ref="AL15:AL21" si="10">AC14</f>
        <v>9.9237560332736567</v>
      </c>
      <c r="AP15" s="7"/>
      <c r="AQ15" s="7"/>
      <c r="AR15" s="5"/>
    </row>
    <row r="16" spans="1:53" ht="15.95" customHeight="1" x14ac:dyDescent="0.25">
      <c r="G16" s="117" t="s">
        <v>151</v>
      </c>
      <c r="H16" s="109">
        <v>6.75</v>
      </c>
      <c r="I16" s="7"/>
      <c r="J16" s="117" t="s">
        <v>151</v>
      </c>
      <c r="K16" s="109">
        <v>9.81</v>
      </c>
      <c r="L16" s="7"/>
      <c r="M16" s="117" t="s">
        <v>198</v>
      </c>
      <c r="N16" s="109">
        <v>8</v>
      </c>
      <c r="O16" s="120"/>
      <c r="P16" s="151" t="s">
        <v>90</v>
      </c>
      <c r="Q16" s="152">
        <f t="shared" si="0"/>
        <v>8.373169153074647</v>
      </c>
      <c r="R16" s="120"/>
      <c r="S16" s="151" t="s">
        <v>107</v>
      </c>
      <c r="T16" s="152">
        <f t="shared" si="1"/>
        <v>9.9237560332736567</v>
      </c>
      <c r="U16" s="3"/>
      <c r="V16" s="147" t="str">
        <f t="shared" si="3"/>
        <v>-P4</v>
      </c>
      <c r="W16" s="109">
        <f t="shared" si="4"/>
        <v>-10.668037735769181</v>
      </c>
      <c r="X16" s="120"/>
      <c r="Y16" s="147" t="s">
        <v>179</v>
      </c>
      <c r="Z16" s="112">
        <f t="shared" si="2"/>
        <v>10.668037735769181</v>
      </c>
      <c r="AA16" s="120"/>
      <c r="AB16" s="147" t="str">
        <f t="shared" si="5"/>
        <v>P4</v>
      </c>
      <c r="AC16" s="112">
        <f t="shared" si="6"/>
        <v>39.695024133094627</v>
      </c>
      <c r="AE16" s="147" t="str">
        <f t="shared" si="7"/>
        <v>-P3</v>
      </c>
      <c r="AF16" s="18">
        <f t="shared" si="8"/>
        <v>-15.384665949877844</v>
      </c>
      <c r="AG16" s="2"/>
      <c r="AH16" s="147" t="s">
        <v>135</v>
      </c>
      <c r="AI16" s="9">
        <f>Z15+Gomos!$I$29</f>
        <v>15.384665949877844</v>
      </c>
      <c r="AJ16" s="2"/>
      <c r="AK16" s="147" t="str">
        <f t="shared" si="9"/>
        <v>P3</v>
      </c>
      <c r="AL16" s="19">
        <f t="shared" si="10"/>
        <v>27.290329091502556</v>
      </c>
      <c r="AP16" s="7"/>
      <c r="AQ16" s="5"/>
      <c r="AR16" s="5"/>
    </row>
    <row r="17" spans="2:44" ht="15.95" customHeight="1" x14ac:dyDescent="0.25">
      <c r="G17" s="117" t="s">
        <v>150</v>
      </c>
      <c r="H17" s="109">
        <v>4.58</v>
      </c>
      <c r="I17" s="7"/>
      <c r="J17" s="117" t="s">
        <v>150</v>
      </c>
      <c r="K17" s="109">
        <v>6.66</v>
      </c>
      <c r="L17" s="7"/>
      <c r="M17" s="115" t="s">
        <v>199</v>
      </c>
      <c r="N17" s="109">
        <v>8</v>
      </c>
      <c r="O17" s="120"/>
      <c r="P17" s="151" t="s">
        <v>91</v>
      </c>
      <c r="Q17" s="152">
        <f t="shared" si="0"/>
        <v>5.6813503290491685</v>
      </c>
      <c r="R17" s="120"/>
      <c r="S17" s="153" t="s">
        <v>108</v>
      </c>
      <c r="T17" s="152">
        <f t="shared" si="1"/>
        <v>9.9237560332736567</v>
      </c>
      <c r="U17" s="3"/>
      <c r="V17" s="147" t="str">
        <f t="shared" si="3"/>
        <v>-P5</v>
      </c>
      <c r="W17" s="109">
        <f t="shared" si="4"/>
        <v>-8.373169153074647</v>
      </c>
      <c r="X17" s="120"/>
      <c r="Y17" s="147" t="s">
        <v>180</v>
      </c>
      <c r="Z17" s="112">
        <f t="shared" si="2"/>
        <v>8.373169153074647</v>
      </c>
      <c r="AA17" s="120"/>
      <c r="AB17" s="147" t="str">
        <f t="shared" si="5"/>
        <v>P5</v>
      </c>
      <c r="AC17" s="112">
        <f t="shared" si="6"/>
        <v>49.618780166368282</v>
      </c>
      <c r="AE17" s="147" t="str">
        <f t="shared" si="7"/>
        <v>-P4</v>
      </c>
      <c r="AF17" s="18">
        <f t="shared" si="8"/>
        <v>-12.668037735769181</v>
      </c>
      <c r="AG17" s="2"/>
      <c r="AH17" s="147" t="s">
        <v>179</v>
      </c>
      <c r="AI17" s="9">
        <f>Z16+Gomos!$I$29</f>
        <v>12.668037735769181</v>
      </c>
      <c r="AJ17" s="2"/>
      <c r="AK17" s="147" t="str">
        <f t="shared" si="9"/>
        <v>P4</v>
      </c>
      <c r="AL17" s="19">
        <f t="shared" si="10"/>
        <v>39.695024133094627</v>
      </c>
    </row>
    <row r="18" spans="2:44" ht="15.95" customHeight="1" x14ac:dyDescent="0.25">
      <c r="G18" s="117" t="s">
        <v>149</v>
      </c>
      <c r="H18" s="109">
        <v>2.94</v>
      </c>
      <c r="I18" s="7"/>
      <c r="J18" s="117" t="s">
        <v>149</v>
      </c>
      <c r="K18" s="110">
        <v>4.2</v>
      </c>
      <c r="L18" s="7"/>
      <c r="M18" s="117" t="s">
        <v>200</v>
      </c>
      <c r="N18" s="110">
        <v>6</v>
      </c>
      <c r="O18" s="120"/>
      <c r="P18" s="151" t="s">
        <v>92</v>
      </c>
      <c r="Q18" s="152">
        <f t="shared" si="0"/>
        <v>3.6469803422280687</v>
      </c>
      <c r="R18" s="120"/>
      <c r="S18" s="151" t="s">
        <v>109</v>
      </c>
      <c r="T18" s="152">
        <f t="shared" si="1"/>
        <v>7.442817024955243</v>
      </c>
      <c r="U18" s="3"/>
      <c r="V18" s="147" t="str">
        <f t="shared" si="3"/>
        <v>-P6</v>
      </c>
      <c r="W18" s="109">
        <f t="shared" si="4"/>
        <v>-5.6813503290491685</v>
      </c>
      <c r="X18" s="120"/>
      <c r="Y18" s="147" t="s">
        <v>181</v>
      </c>
      <c r="Z18" s="112">
        <f t="shared" si="2"/>
        <v>5.6813503290491685</v>
      </c>
      <c r="AA18" s="120"/>
      <c r="AB18" s="147" t="str">
        <f t="shared" si="5"/>
        <v>P6</v>
      </c>
      <c r="AC18" s="112">
        <f t="shared" si="6"/>
        <v>59.542536199641937</v>
      </c>
      <c r="AE18" s="147" t="str">
        <f t="shared" si="7"/>
        <v>-P5</v>
      </c>
      <c r="AF18" s="18">
        <f t="shared" si="8"/>
        <v>-10.373169153074647</v>
      </c>
      <c r="AG18" s="2"/>
      <c r="AH18" s="147" t="s">
        <v>180</v>
      </c>
      <c r="AI18" s="9">
        <f>Z17+Gomos!$I$29</f>
        <v>10.373169153074647</v>
      </c>
      <c r="AJ18" s="2"/>
      <c r="AK18" s="147" t="str">
        <f t="shared" si="9"/>
        <v>P5</v>
      </c>
      <c r="AL18" s="19">
        <f t="shared" si="10"/>
        <v>49.618780166368282</v>
      </c>
    </row>
    <row r="19" spans="2:44" ht="15.95" customHeight="1" x14ac:dyDescent="0.25">
      <c r="G19" s="117" t="s">
        <v>148</v>
      </c>
      <c r="H19" s="109">
        <v>0</v>
      </c>
      <c r="I19" s="7"/>
      <c r="J19" s="117" t="s">
        <v>148</v>
      </c>
      <c r="K19" s="111">
        <v>0</v>
      </c>
      <c r="L19" s="7"/>
      <c r="M19" s="115" t="s">
        <v>193</v>
      </c>
      <c r="N19" s="111">
        <v>10.82</v>
      </c>
      <c r="O19" s="120"/>
      <c r="P19" s="151" t="s">
        <v>110</v>
      </c>
      <c r="Q19" s="152">
        <f t="shared" si="0"/>
        <v>0</v>
      </c>
      <c r="R19" s="120"/>
      <c r="S19" s="153" t="s">
        <v>111</v>
      </c>
      <c r="T19" s="152">
        <f t="shared" si="1"/>
        <v>13.421880035002621</v>
      </c>
      <c r="U19" s="3"/>
      <c r="V19" s="147" t="str">
        <f t="shared" si="3"/>
        <v>-P7</v>
      </c>
      <c r="W19" s="109">
        <f t="shared" si="4"/>
        <v>-3.6469803422280687</v>
      </c>
      <c r="X19" s="120"/>
      <c r="Y19" s="147" t="s">
        <v>182</v>
      </c>
      <c r="Z19" s="112">
        <f t="shared" si="2"/>
        <v>3.6469803422280687</v>
      </c>
      <c r="AA19" s="120"/>
      <c r="AB19" s="147" t="str">
        <f t="shared" si="5"/>
        <v>P7</v>
      </c>
      <c r="AC19" s="112">
        <f t="shared" si="6"/>
        <v>66.985353224597176</v>
      </c>
      <c r="AE19" s="147" t="str">
        <f t="shared" si="7"/>
        <v>-P6</v>
      </c>
      <c r="AF19" s="18">
        <f t="shared" si="8"/>
        <v>-7.6813503290491685</v>
      </c>
      <c r="AG19" s="2"/>
      <c r="AH19" s="147" t="s">
        <v>181</v>
      </c>
      <c r="AI19" s="9">
        <f>Z18+Gomos!$I$29</f>
        <v>7.6813503290491685</v>
      </c>
      <c r="AJ19" s="2"/>
      <c r="AK19" s="147" t="str">
        <f t="shared" si="9"/>
        <v>P6</v>
      </c>
      <c r="AL19" s="19">
        <f t="shared" si="10"/>
        <v>59.542536199641937</v>
      </c>
      <c r="AP19" s="355"/>
      <c r="AQ19" s="355"/>
      <c r="AR19" s="355"/>
    </row>
    <row r="20" spans="2:44" ht="15.95" customHeight="1" x14ac:dyDescent="0.25">
      <c r="E20" s="2"/>
      <c r="G20" s="121"/>
      <c r="H20" s="122">
        <f>H12*2</f>
        <v>26.18</v>
      </c>
      <c r="I20" s="7"/>
      <c r="J20" s="121"/>
      <c r="K20" s="122">
        <f>K12*2</f>
        <v>39.270000000000003</v>
      </c>
      <c r="L20" s="7"/>
      <c r="M20" s="116"/>
      <c r="N20" s="122">
        <f>SUM(N12:N19)</f>
        <v>64.819999999999993</v>
      </c>
      <c r="O20" s="120"/>
      <c r="P20" s="118"/>
      <c r="Q20" s="7"/>
      <c r="R20" s="120"/>
      <c r="S20" s="118"/>
      <c r="T20" s="5"/>
      <c r="U20" s="3"/>
      <c r="V20" s="147" t="str">
        <f t="shared" si="3"/>
        <v>-P8</v>
      </c>
      <c r="W20" s="109">
        <f t="shared" si="4"/>
        <v>0</v>
      </c>
      <c r="X20" s="120"/>
      <c r="Y20" s="147" t="s">
        <v>183</v>
      </c>
      <c r="Z20" s="112">
        <f t="shared" si="2"/>
        <v>0</v>
      </c>
      <c r="AA20" s="120"/>
      <c r="AB20" s="147" t="str">
        <f t="shared" si="5"/>
        <v>P8</v>
      </c>
      <c r="AC20" s="112">
        <f t="shared" si="6"/>
        <v>80.407233259599792</v>
      </c>
      <c r="AE20" s="147" t="str">
        <f t="shared" si="7"/>
        <v>-P7</v>
      </c>
      <c r="AF20" s="18">
        <f t="shared" si="8"/>
        <v>-5.6469803422280691</v>
      </c>
      <c r="AG20" s="2"/>
      <c r="AH20" s="147" t="s">
        <v>182</v>
      </c>
      <c r="AI20" s="9">
        <f>Z19+Gomos!$I$29</f>
        <v>5.6469803422280691</v>
      </c>
      <c r="AJ20" s="2"/>
      <c r="AK20" s="147" t="str">
        <f t="shared" si="9"/>
        <v>P7</v>
      </c>
      <c r="AL20" s="19">
        <f t="shared" si="10"/>
        <v>66.985353224597176</v>
      </c>
      <c r="AP20" s="158"/>
      <c r="AQ20" s="407"/>
      <c r="AR20" s="407"/>
    </row>
    <row r="21" spans="2:44" ht="15.95" customHeight="1" x14ac:dyDescent="0.25">
      <c r="G21" s="114" t="s">
        <v>146</v>
      </c>
      <c r="H21" s="109">
        <v>26.18</v>
      </c>
      <c r="I21" s="7"/>
      <c r="J21" s="114" t="s">
        <v>146</v>
      </c>
      <c r="K21" s="109">
        <v>39.270000000000003</v>
      </c>
      <c r="L21" s="7"/>
      <c r="M21" s="114" t="s">
        <v>147</v>
      </c>
      <c r="N21" s="109">
        <v>64.819999999999993</v>
      </c>
      <c r="O21" s="120"/>
      <c r="P21" s="154" t="s">
        <v>103</v>
      </c>
      <c r="Q21" s="137">
        <f>Q12*2</f>
        <v>32.475491618888043</v>
      </c>
      <c r="R21" s="7"/>
      <c r="S21" s="154" t="s">
        <v>105</v>
      </c>
      <c r="T21" s="137">
        <f>SUM(T12:T19)</f>
        <v>80.407233259599792</v>
      </c>
      <c r="U21" s="3"/>
      <c r="V21" s="145"/>
      <c r="W21" s="7"/>
      <c r="X21" s="120"/>
      <c r="Y21" s="107"/>
      <c r="Z21" s="5"/>
      <c r="AA21" s="120"/>
      <c r="AB21" s="107"/>
      <c r="AC21" s="5"/>
      <c r="AE21" s="147" t="str">
        <f t="shared" si="7"/>
        <v>-P8</v>
      </c>
      <c r="AF21" s="18">
        <f t="shared" si="8"/>
        <v>-2</v>
      </c>
      <c r="AG21" s="2"/>
      <c r="AH21" s="147" t="s">
        <v>183</v>
      </c>
      <c r="AI21" s="9">
        <f>Z20+Gomos!$I$29</f>
        <v>2</v>
      </c>
      <c r="AJ21" s="2"/>
      <c r="AK21" s="147" t="str">
        <f t="shared" si="9"/>
        <v>P8</v>
      </c>
      <c r="AL21" s="19">
        <f t="shared" si="10"/>
        <v>80.407233259599792</v>
      </c>
      <c r="AP21" s="158"/>
      <c r="AQ21" s="407"/>
      <c r="AR21" s="407"/>
    </row>
    <row r="22" spans="2:44" ht="15.95" customHeight="1" x14ac:dyDescent="0.25">
      <c r="G22" s="3"/>
      <c r="H22" s="3"/>
      <c r="I22" s="7"/>
      <c r="J22" s="106"/>
      <c r="K22" s="7"/>
      <c r="L22" s="7"/>
      <c r="M22" s="7"/>
      <c r="N22" s="7"/>
      <c r="O22" s="120"/>
      <c r="P22" s="3"/>
      <c r="Q22" s="3"/>
      <c r="R22" s="3"/>
      <c r="S22" s="120"/>
      <c r="T22" s="3"/>
      <c r="U22" s="3"/>
      <c r="V22" s="145"/>
      <c r="W22" s="7"/>
      <c r="X22" s="120"/>
      <c r="Y22" s="107"/>
      <c r="Z22" s="5"/>
      <c r="AA22" s="120"/>
      <c r="AB22" s="107"/>
      <c r="AC22" s="5"/>
      <c r="AE22" s="145"/>
      <c r="AF22" s="5"/>
      <c r="AG22" s="2"/>
      <c r="AH22" s="145"/>
      <c r="AI22" s="148"/>
      <c r="AJ22" s="2"/>
      <c r="AK22" s="145"/>
      <c r="AL22" s="91"/>
      <c r="AP22" s="107"/>
      <c r="AQ22" s="107"/>
      <c r="AR22" s="107"/>
    </row>
    <row r="23" spans="2:44" ht="15.95" customHeight="1" x14ac:dyDescent="0.25">
      <c r="B23" s="2"/>
      <c r="C23" s="2"/>
      <c r="D23" s="2"/>
      <c r="E23" s="2"/>
      <c r="I23" s="7"/>
      <c r="L23" s="7"/>
      <c r="M23" s="7"/>
      <c r="N23" s="7"/>
      <c r="O23" s="2"/>
      <c r="Z23" s="5"/>
      <c r="AA23" s="120"/>
      <c r="AB23" s="107"/>
      <c r="AC23" s="5"/>
      <c r="AE23" s="145"/>
      <c r="AF23" s="5"/>
      <c r="AG23" s="2"/>
      <c r="AH23" s="145"/>
      <c r="AI23" s="148"/>
      <c r="AJ23" s="2"/>
      <c r="AK23" s="145"/>
      <c r="AL23" s="91"/>
      <c r="AP23" s="7"/>
      <c r="AQ23" s="5"/>
      <c r="AR23" s="7"/>
    </row>
    <row r="24" spans="2:44" ht="15.95" customHeight="1" x14ac:dyDescent="0.25">
      <c r="B24" s="2"/>
      <c r="C24" s="2"/>
      <c r="D24" s="2"/>
      <c r="E24" s="2"/>
      <c r="G24" s="292" t="s">
        <v>112</v>
      </c>
      <c r="H24" s="356" t="s">
        <v>113</v>
      </c>
      <c r="I24" s="356"/>
      <c r="J24" s="356"/>
      <c r="K24" s="356"/>
      <c r="L24" s="356"/>
      <c r="M24" s="356"/>
      <c r="N24" s="356"/>
      <c r="O24" s="2"/>
      <c r="V24" s="356" t="s">
        <v>191</v>
      </c>
      <c r="W24" s="356"/>
      <c r="X24" s="356"/>
      <c r="Y24" s="356"/>
      <c r="Z24" s="356"/>
      <c r="AA24" s="356"/>
      <c r="AB24" s="356"/>
      <c r="AC24" s="356"/>
      <c r="AE24" s="356" t="s">
        <v>192</v>
      </c>
      <c r="AF24" s="356"/>
      <c r="AG24" s="356"/>
      <c r="AH24" s="356"/>
      <c r="AI24" s="356"/>
      <c r="AJ24" s="356"/>
      <c r="AK24" s="356"/>
      <c r="AL24" s="356"/>
      <c r="AP24" s="7"/>
      <c r="AQ24" s="5"/>
      <c r="AR24" s="7"/>
    </row>
    <row r="25" spans="2:44" ht="15.95" customHeight="1" x14ac:dyDescent="0.25">
      <c r="G25" s="292"/>
      <c r="H25" s="412">
        <f>IF(E12=12,E13/H21,IF(E12=8,E13/K21))</f>
        <v>1.2404695041592071</v>
      </c>
      <c r="I25" s="412"/>
      <c r="J25" s="412"/>
      <c r="K25" s="412"/>
      <c r="L25" s="412"/>
      <c r="M25" s="412"/>
      <c r="N25" s="412"/>
      <c r="O25" s="2"/>
      <c r="V25" s="164" t="s">
        <v>24</v>
      </c>
      <c r="W25" s="156" t="s">
        <v>187</v>
      </c>
      <c r="X25" s="120"/>
      <c r="Z25" s="157"/>
      <c r="AA25" s="157"/>
      <c r="AB25" s="157"/>
      <c r="AC25" s="163" t="str">
        <f>"y [cm]"</f>
        <v>y [cm]</v>
      </c>
      <c r="AE25" s="156" t="s">
        <v>24</v>
      </c>
      <c r="AF25" s="156" t="s">
        <v>187</v>
      </c>
      <c r="AG25" s="120"/>
      <c r="AI25" s="157"/>
      <c r="AJ25" s="157"/>
      <c r="AK25" s="157"/>
      <c r="AL25" s="156" t="str">
        <f>"y [cm]"</f>
        <v>y [cm]</v>
      </c>
      <c r="AP25" s="7"/>
      <c r="AQ25" s="5"/>
      <c r="AR25" s="7"/>
    </row>
    <row r="26" spans="2:44" ht="15.95" customHeight="1" x14ac:dyDescent="0.25">
      <c r="B26" s="410" t="s">
        <v>94</v>
      </c>
      <c r="C26" s="355" t="s">
        <v>82</v>
      </c>
      <c r="D26" s="355"/>
      <c r="E26" s="355"/>
      <c r="F26" s="2"/>
      <c r="I26" s="7"/>
      <c r="J26" s="106"/>
      <c r="K26" s="7"/>
      <c r="L26" s="7"/>
      <c r="M26" s="7"/>
      <c r="N26" s="7"/>
      <c r="O26" s="2"/>
      <c r="S26" s="143"/>
      <c r="V26" s="147" t="str">
        <f>"-P1"</f>
        <v>-P1</v>
      </c>
      <c r="W26" s="109">
        <f>-W27</f>
        <v>-16.237745809444021</v>
      </c>
      <c r="X26" s="120"/>
      <c r="Z26" s="144"/>
      <c r="AA26" s="144"/>
      <c r="AB26" s="144"/>
      <c r="AC26" s="162">
        <v>0</v>
      </c>
      <c r="AE26" s="147" t="str">
        <f>"-P1"</f>
        <v>-P1</v>
      </c>
      <c r="AF26" s="109">
        <f>-Gomos!I29</f>
        <v>-2</v>
      </c>
      <c r="AG26" s="120"/>
      <c r="AI26" s="144"/>
      <c r="AJ26" s="144"/>
      <c r="AK26" s="144"/>
      <c r="AL26" s="162">
        <f>E14</f>
        <v>80.407421286688049</v>
      </c>
      <c r="AP26" s="7"/>
      <c r="AQ26" s="7"/>
      <c r="AR26" s="7"/>
    </row>
    <row r="27" spans="2:44" ht="15.95" customHeight="1" x14ac:dyDescent="0.25">
      <c r="B27" s="410"/>
      <c r="D27" s="141"/>
      <c r="E27" s="120"/>
      <c r="F27" s="2"/>
      <c r="G27" s="106"/>
      <c r="H27" s="7"/>
      <c r="I27" s="7"/>
      <c r="L27" s="7"/>
      <c r="M27" s="7"/>
      <c r="N27" s="7"/>
      <c r="O27" s="2"/>
      <c r="R27" s="2"/>
      <c r="S27" s="143"/>
      <c r="V27" s="147" t="str">
        <f>" P1"</f>
        <v xml:space="preserve"> P1</v>
      </c>
      <c r="W27" s="109">
        <f>E13/2</f>
        <v>16.237745809444021</v>
      </c>
      <c r="X27" s="120"/>
      <c r="Z27" s="155"/>
      <c r="AA27" s="120"/>
      <c r="AB27" s="155"/>
      <c r="AC27" s="162">
        <v>0</v>
      </c>
      <c r="AE27" s="147" t="str">
        <f>" P1"</f>
        <v xml:space="preserve"> P1</v>
      </c>
      <c r="AF27" s="109">
        <f>Gomos!I29</f>
        <v>2</v>
      </c>
      <c r="AG27" s="120"/>
      <c r="AI27" s="155"/>
      <c r="AJ27" s="120"/>
      <c r="AK27" s="155"/>
      <c r="AL27" s="162">
        <f>E14</f>
        <v>80.407421286688049</v>
      </c>
      <c r="AP27" s="7"/>
      <c r="AQ27" s="5"/>
      <c r="AR27" s="7"/>
    </row>
    <row r="28" spans="2:44" ht="15.95" customHeight="1" x14ac:dyDescent="0.25">
      <c r="F28" s="2"/>
      <c r="G28" s="411" t="s">
        <v>176</v>
      </c>
      <c r="H28" s="411"/>
      <c r="I28" s="411"/>
      <c r="J28" s="411"/>
      <c r="K28" s="411"/>
      <c r="L28" s="411"/>
      <c r="M28" s="411"/>
      <c r="N28" s="411"/>
      <c r="O28" s="2"/>
      <c r="R28" s="2"/>
      <c r="S28" s="2"/>
      <c r="U28" s="2"/>
      <c r="V28" s="145"/>
      <c r="W28" s="135"/>
      <c r="X28" s="120"/>
      <c r="Z28" s="155"/>
      <c r="AA28" s="120"/>
      <c r="AB28" s="155"/>
      <c r="AC28" s="160"/>
      <c r="AE28" s="145"/>
      <c r="AF28" s="135"/>
      <c r="AG28" s="120"/>
      <c r="AI28" s="155"/>
      <c r="AJ28" s="120"/>
      <c r="AK28" s="155"/>
      <c r="AL28" s="160"/>
      <c r="AP28" s="7"/>
      <c r="AQ28" s="5"/>
      <c r="AR28" s="7"/>
    </row>
    <row r="29" spans="2:44" ht="15.95" customHeight="1" x14ac:dyDescent="0.25">
      <c r="B29" s="410" t="s">
        <v>84</v>
      </c>
      <c r="C29" s="355" t="s">
        <v>138</v>
      </c>
      <c r="D29" s="355"/>
      <c r="E29" s="355"/>
      <c r="F29" s="2"/>
      <c r="G29" s="411"/>
      <c r="H29" s="411"/>
      <c r="I29" s="411"/>
      <c r="J29" s="411"/>
      <c r="K29" s="411"/>
      <c r="L29" s="411"/>
      <c r="M29" s="411"/>
      <c r="N29" s="411"/>
      <c r="O29" s="2"/>
      <c r="R29" s="2"/>
      <c r="S29" s="2"/>
      <c r="T29" s="2"/>
      <c r="U29" s="2"/>
      <c r="Z29" s="107"/>
      <c r="AA29" s="120"/>
      <c r="AB29" s="107"/>
      <c r="AE29" s="145"/>
      <c r="AF29" s="5"/>
      <c r="AG29" s="2"/>
      <c r="AH29" s="145"/>
      <c r="AI29" s="159"/>
      <c r="AJ29" s="2"/>
      <c r="AK29" s="145"/>
      <c r="AL29" s="5"/>
      <c r="AP29" s="7"/>
      <c r="AQ29" s="5"/>
      <c r="AR29" s="7"/>
    </row>
    <row r="30" spans="2:44" ht="15.95" customHeight="1" x14ac:dyDescent="0.25">
      <c r="B30" s="410"/>
      <c r="C30" s="107" t="s">
        <v>103</v>
      </c>
      <c r="D30" s="107"/>
      <c r="F30" s="2"/>
      <c r="G30" s="411"/>
      <c r="H30" s="411"/>
      <c r="I30" s="411"/>
      <c r="J30" s="411"/>
      <c r="K30" s="411"/>
      <c r="L30" s="411"/>
      <c r="M30" s="411"/>
      <c r="N30" s="411"/>
      <c r="O30" s="2"/>
      <c r="R30" s="2"/>
      <c r="S30" s="2"/>
      <c r="T30" s="2"/>
      <c r="U30" s="2"/>
      <c r="Z30" s="135"/>
      <c r="AA30" s="120"/>
      <c r="AB30" s="145"/>
      <c r="AC30" s="135"/>
      <c r="AE30" s="145"/>
      <c r="AF30" s="5"/>
      <c r="AG30" s="2"/>
      <c r="AH30" s="145"/>
      <c r="AI30" s="159"/>
      <c r="AJ30" s="2"/>
      <c r="AK30" s="145"/>
      <c r="AL30" s="5"/>
    </row>
    <row r="31" spans="2:44" ht="15.95" customHeight="1" x14ac:dyDescent="0.25">
      <c r="B31" s="410"/>
      <c r="C31" s="107" t="s">
        <v>105</v>
      </c>
      <c r="D31" s="107"/>
      <c r="F31" s="2"/>
      <c r="I31" s="12"/>
      <c r="J31" s="107"/>
      <c r="K31" s="7"/>
      <c r="L31" s="105"/>
      <c r="M31" s="105"/>
      <c r="N31" s="105"/>
      <c r="O31" s="2"/>
      <c r="R31" s="2"/>
      <c r="S31" s="2"/>
      <c r="T31" s="2"/>
      <c r="U31" s="2"/>
      <c r="Z31" s="135"/>
      <c r="AA31" s="120"/>
      <c r="AB31" s="145"/>
      <c r="AC31" s="135"/>
      <c r="AE31" s="145"/>
      <c r="AF31" s="5"/>
      <c r="AG31" s="2"/>
      <c r="AH31" s="145"/>
      <c r="AI31" s="159"/>
      <c r="AJ31" s="2"/>
      <c r="AK31" s="145"/>
      <c r="AL31" s="5"/>
      <c r="AP31" s="355"/>
      <c r="AQ31" s="355"/>
      <c r="AR31" s="355"/>
    </row>
    <row r="32" spans="2:44" ht="15.95" customHeight="1" x14ac:dyDescent="0.25">
      <c r="B32" s="2"/>
      <c r="C32" s="2"/>
      <c r="D32" s="2"/>
      <c r="E32" s="2"/>
      <c r="F32" s="2"/>
      <c r="G32" s="104"/>
      <c r="H32" s="104"/>
      <c r="I32" s="104"/>
      <c r="J32" s="104"/>
      <c r="K32" s="104"/>
      <c r="L32" s="105"/>
      <c r="M32" s="105"/>
      <c r="N32" s="105"/>
      <c r="O32" s="2"/>
      <c r="P32" s="2"/>
      <c r="Q32" s="2"/>
      <c r="R32" s="2"/>
      <c r="S32" s="2"/>
      <c r="T32" s="2"/>
      <c r="U32" s="2"/>
      <c r="Z32" s="135"/>
      <c r="AA32" s="120"/>
      <c r="AB32" s="145"/>
      <c r="AC32" s="135"/>
      <c r="AE32" s="145"/>
      <c r="AF32" s="5"/>
      <c r="AG32" s="2"/>
      <c r="AH32" s="145"/>
      <c r="AI32" s="159"/>
      <c r="AJ32" s="2"/>
      <c r="AK32" s="145"/>
      <c r="AL32" s="5"/>
      <c r="AP32" s="158"/>
      <c r="AQ32" s="407"/>
      <c r="AR32" s="407"/>
    </row>
    <row r="33" spans="2:44" ht="15.95" customHeight="1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165"/>
      <c r="M33" s="165"/>
      <c r="N33" s="165"/>
      <c r="O33" s="2"/>
      <c r="P33" s="2"/>
      <c r="Q33" s="2"/>
      <c r="R33" s="2"/>
      <c r="S33" s="2"/>
      <c r="T33" s="2"/>
      <c r="U33" s="2"/>
      <c r="Z33" s="135"/>
      <c r="AA33" s="120"/>
      <c r="AB33" s="145"/>
      <c r="AC33" s="135"/>
      <c r="AE33" s="145"/>
      <c r="AF33" s="5"/>
      <c r="AG33" s="2"/>
      <c r="AH33" s="145"/>
      <c r="AI33" s="159"/>
      <c r="AJ33" s="2"/>
      <c r="AK33" s="145"/>
      <c r="AL33" s="5"/>
      <c r="AP33" s="158"/>
      <c r="AQ33" s="407"/>
      <c r="AR33" s="407"/>
    </row>
    <row r="34" spans="2:44" ht="15.95" customHeight="1" x14ac:dyDescent="0.25">
      <c r="B34" s="2"/>
      <c r="C34" s="2"/>
      <c r="D34" s="2"/>
      <c r="E34" s="2"/>
      <c r="F34" s="2"/>
      <c r="L34" s="104"/>
      <c r="M34" s="104"/>
      <c r="N34" s="104"/>
      <c r="O34" s="2"/>
      <c r="P34" s="2"/>
      <c r="Q34" s="2"/>
      <c r="R34" s="2"/>
      <c r="S34" s="2"/>
      <c r="T34" s="2"/>
      <c r="U34" s="2"/>
      <c r="V34" s="145"/>
      <c r="W34" s="146"/>
      <c r="X34" s="120"/>
      <c r="Y34" s="145"/>
      <c r="Z34" s="146"/>
      <c r="AA34" s="120"/>
      <c r="AB34" s="145"/>
      <c r="AC34" s="146"/>
      <c r="AE34" s="145"/>
      <c r="AF34" s="5"/>
      <c r="AG34" s="2"/>
      <c r="AH34" s="145"/>
      <c r="AI34" s="159"/>
      <c r="AJ34" s="2"/>
      <c r="AK34" s="145"/>
      <c r="AL34" s="5"/>
      <c r="AP34" s="107"/>
      <c r="AQ34" s="107"/>
      <c r="AR34" s="107"/>
    </row>
    <row r="35" spans="2:44" ht="15.95" customHeight="1" x14ac:dyDescent="0.25">
      <c r="B35" s="2"/>
      <c r="C35" s="2"/>
      <c r="D35" s="2"/>
      <c r="E35" s="2"/>
      <c r="F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145"/>
      <c r="W35" s="135"/>
      <c r="X35" s="120"/>
      <c r="AA35" s="120"/>
      <c r="AB35" s="145"/>
      <c r="AC35" s="146"/>
      <c r="AE35" s="145"/>
      <c r="AF35" s="5"/>
      <c r="AG35" s="2"/>
      <c r="AH35" s="145"/>
      <c r="AI35" s="159"/>
      <c r="AJ35" s="2"/>
      <c r="AK35" s="145"/>
      <c r="AL35" s="5"/>
      <c r="AP35" s="7"/>
      <c r="AQ35" s="5"/>
      <c r="AR35" s="7"/>
    </row>
    <row r="36" spans="2:44" ht="15.95" customHeight="1" x14ac:dyDescent="0.25">
      <c r="B36" s="2"/>
      <c r="C36" s="2"/>
      <c r="D36" s="2"/>
      <c r="E36" s="2"/>
      <c r="F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145"/>
      <c r="W36" s="135"/>
      <c r="X36" s="120"/>
      <c r="AA36" s="120"/>
      <c r="AB36" s="145"/>
      <c r="AC36" s="146"/>
      <c r="AE36" s="145"/>
      <c r="AF36" s="5"/>
      <c r="AG36" s="2"/>
      <c r="AH36" s="145"/>
      <c r="AI36" s="159"/>
      <c r="AJ36" s="2"/>
      <c r="AK36" s="145"/>
      <c r="AL36" s="5"/>
      <c r="AP36" s="7"/>
      <c r="AQ36" s="5"/>
      <c r="AR36" s="7"/>
    </row>
    <row r="37" spans="2:44" ht="15.95" customHeight="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145"/>
      <c r="W37" s="135"/>
      <c r="X37" s="120"/>
      <c r="Y37" s="145"/>
      <c r="Z37" s="146"/>
      <c r="AA37" s="120"/>
      <c r="AB37" s="145"/>
      <c r="AC37" s="146"/>
      <c r="AP37" s="7"/>
      <c r="AQ37" s="5"/>
      <c r="AR37" s="7"/>
    </row>
    <row r="38" spans="2:44" ht="15.95" customHeight="1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116"/>
      <c r="U38" s="2"/>
      <c r="V38" s="143"/>
      <c r="AP38" s="7"/>
      <c r="AQ38" s="7"/>
      <c r="AR38" s="7"/>
    </row>
    <row r="39" spans="2:44" ht="15.95" customHeight="1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AP39" s="7"/>
      <c r="AQ39" s="5"/>
      <c r="AR39" s="7"/>
    </row>
    <row r="40" spans="2:44" ht="15.95" customHeight="1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AP40" s="7"/>
      <c r="AQ40" s="5"/>
      <c r="AR40" s="7"/>
    </row>
    <row r="41" spans="2:44" ht="15.95" customHeight="1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AP41" s="7"/>
      <c r="AQ41" s="5"/>
      <c r="AR41" s="7"/>
    </row>
    <row r="42" spans="2:44" ht="15.95" customHeight="1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2:44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2:44" ht="15.9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2:44" ht="15.95" customHeight="1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2:44" ht="15.95" customHeight="1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2:44" ht="15.9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2:44" ht="15.9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2:21" ht="15.9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2:21" ht="15.9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2:21" ht="15.9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2:21" ht="15.9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2:21" ht="15.9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2:21" ht="15.9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2:21" ht="15.9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2:21" ht="15.9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2:21" ht="15.95" customHeight="1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2:21" ht="15.95" customHeight="1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2:21" ht="15.95" customHeight="1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2:21" ht="15.95" customHeight="1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2:21" ht="15.95" customHeight="1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2:21" ht="15.95" customHeight="1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2:21" ht="15.95" customHeight="1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2:21" ht="15.95" customHeight="1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2:21" ht="15.95" customHeight="1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2:21" ht="15.95" customHeight="1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2:21" ht="15.95" customHeight="1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2:21" ht="15.95" customHeight="1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2:21" ht="15.95" customHeight="1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2:21" ht="15.95" customHeight="1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2:21" ht="15.95" customHeight="1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2:21" ht="15.95" customHeight="1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2:21" ht="15.95" customHeight="1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2:21" ht="15.95" customHeight="1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2:21" ht="15.95" customHeight="1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2:21" ht="15.95" customHeight="1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2:21" ht="15.95" customHeight="1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2:21" ht="15.95" customHeight="1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2:21" ht="15.95" customHeight="1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2:21" ht="15.95" customHeight="1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2:21" ht="15.95" customHeight="1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2:21" ht="15.95" customHeight="1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2:21" ht="15.95" customHeight="1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2:21" ht="15.95" customHeight="1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2:21" ht="15.95" customHeight="1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2:21" ht="15.95" customHeight="1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2:21" ht="15.95" customHeight="1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2:21" ht="15.95" customHeight="1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2:21" ht="15.95" customHeight="1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2:21" ht="15.95" customHeight="1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2:21" ht="15.95" customHeight="1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2:21" ht="15.95" customHeight="1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2:21" ht="15.95" customHeight="1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2:21" ht="15.95" customHeight="1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2:21" ht="15.95" customHeight="1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2:21" ht="15.95" customHeight="1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2:21" ht="15.95" customHeight="1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2:21" ht="15.95" customHeight="1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2:21" ht="15.95" customHeight="1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2:21" ht="15.95" customHeight="1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2:21" ht="15.95" customHeight="1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2:21" ht="15.95" customHeight="1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2:21" ht="15.95" customHeight="1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2:21" ht="15.95" customHeight="1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2:21" ht="15.95" customHeight="1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2:21" ht="15.95" customHeight="1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2:21" ht="15.95" customHeight="1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2:21" ht="15.95" customHeight="1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2:21" ht="15.95" customHeight="1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2:21" ht="15.95" customHeight="1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2:21" ht="15.95" customHeight="1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2:21" ht="15.95" customHeight="1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2:21" ht="15.95" customHeight="1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2:21" ht="15.95" customHeight="1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2:21" ht="15.95" customHeight="1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2:21" ht="15.95" customHeight="1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2:21" ht="15.95" customHeight="1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2:21" ht="15.95" customHeight="1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2:21" ht="15.95" customHeight="1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2:21" ht="15.95" customHeight="1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2:21" ht="15.95" customHeight="1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2:21" ht="15.95" customHeight="1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2:21" ht="15.95" customHeight="1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2:21" ht="15.95" customHeight="1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2:21" ht="15.95" customHeight="1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2:21" ht="15.95" customHeight="1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2:21" ht="15.95" customHeight="1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2:21" ht="15.95" customHeight="1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2:21" ht="15.95" customHeight="1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2:21" ht="15.95" customHeight="1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2:21" ht="15.95" customHeight="1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2:21" ht="15.95" customHeight="1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2:21" ht="15.95" customHeight="1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2:21" ht="15.95" customHeight="1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2:21" ht="15.95" customHeight="1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2:21" ht="15.95" customHeight="1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2:21" ht="15.95" customHeight="1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2:21" ht="15.95" customHeight="1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2:21" ht="15.95" customHeight="1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2:21" ht="15.95" customHeight="1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2:21" ht="15.95" customHeight="1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2:21" ht="15.95" customHeight="1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2:21" ht="15.95" customHeight="1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2:21" ht="15.95" customHeight="1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2:21" ht="15.95" customHeight="1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2:21" ht="15.95" customHeight="1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2:21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2:21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2:21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2:21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2:21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2:21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2:21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2:21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2:21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2:21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2:21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2:21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R158" s="2"/>
      <c r="S158" s="2"/>
      <c r="T158" s="2"/>
      <c r="U158" s="2"/>
    </row>
    <row r="159" spans="2:21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R159" s="2"/>
      <c r="S159" s="2"/>
      <c r="T159" s="2"/>
      <c r="U159" s="2"/>
    </row>
    <row r="160" spans="2:21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R160" s="2"/>
      <c r="S160" s="2"/>
      <c r="T160" s="2"/>
      <c r="U160" s="2"/>
    </row>
    <row r="161" spans="2:21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R161" s="2"/>
      <c r="S161" s="2"/>
      <c r="T161" s="2"/>
      <c r="U161" s="2"/>
    </row>
    <row r="162" spans="2:21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R162" s="2"/>
      <c r="S162" s="2"/>
      <c r="T162" s="2"/>
      <c r="U162" s="2"/>
    </row>
    <row r="163" spans="2:21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R163" s="2"/>
      <c r="S163" s="2"/>
      <c r="T163" s="2"/>
      <c r="U163" s="2"/>
    </row>
    <row r="164" spans="2:21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R164" s="2"/>
      <c r="S164" s="2"/>
      <c r="T164" s="2"/>
      <c r="U164" s="2"/>
    </row>
    <row r="165" spans="2:21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R165" s="2"/>
      <c r="S165" s="2"/>
      <c r="T165" s="2"/>
      <c r="U165" s="2"/>
    </row>
    <row r="166" spans="2:21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R166" s="2"/>
      <c r="S166" s="2"/>
      <c r="T166" s="2"/>
      <c r="U166" s="2"/>
    </row>
    <row r="167" spans="2:21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R167" s="2"/>
      <c r="S167" s="2"/>
      <c r="T167" s="2"/>
      <c r="U167" s="2"/>
    </row>
    <row r="168" spans="2:21" x14ac:dyDescent="0.25">
      <c r="F168" s="2"/>
      <c r="G168" s="2"/>
      <c r="H168" s="2"/>
      <c r="I168" s="2"/>
      <c r="J168" s="2"/>
      <c r="K168" s="2"/>
      <c r="L168" s="2"/>
      <c r="M168" s="2"/>
      <c r="N168" s="2"/>
      <c r="O168" s="2"/>
      <c r="R168" s="2"/>
      <c r="S168" s="2"/>
      <c r="T168" s="2"/>
      <c r="U168" s="2"/>
    </row>
    <row r="169" spans="2:21" x14ac:dyDescent="0.25">
      <c r="F169" s="2"/>
      <c r="G169" s="2"/>
      <c r="H169" s="2"/>
      <c r="I169" s="2"/>
      <c r="J169" s="2"/>
      <c r="K169" s="2"/>
      <c r="L169" s="2"/>
      <c r="M169" s="2"/>
      <c r="N169" s="2"/>
      <c r="O169" s="2"/>
      <c r="R169" s="2"/>
      <c r="S169" s="2"/>
      <c r="T169" s="2"/>
      <c r="U169" s="2"/>
    </row>
    <row r="170" spans="2:21" x14ac:dyDescent="0.25">
      <c r="F170" s="2"/>
      <c r="G170" s="2"/>
      <c r="H170" s="2"/>
      <c r="I170" s="2"/>
      <c r="J170" s="2"/>
      <c r="K170" s="2"/>
      <c r="L170" s="2"/>
      <c r="M170" s="2"/>
      <c r="N170" s="2"/>
      <c r="O170" s="2"/>
      <c r="R170" s="2"/>
      <c r="S170" s="2"/>
      <c r="T170" s="2"/>
      <c r="U170" s="2"/>
    </row>
    <row r="171" spans="2:21" x14ac:dyDescent="0.25">
      <c r="F171" s="2"/>
      <c r="G171" s="2"/>
      <c r="H171" s="2"/>
      <c r="I171" s="2"/>
      <c r="J171" s="2"/>
      <c r="K171" s="2"/>
      <c r="L171" s="2"/>
      <c r="M171" s="2"/>
      <c r="N171" s="2"/>
      <c r="O171" s="2"/>
      <c r="R171" s="2"/>
      <c r="S171" s="2"/>
      <c r="T171" s="2"/>
      <c r="U171" s="2"/>
    </row>
    <row r="172" spans="2:21" x14ac:dyDescent="0.25">
      <c r="F172" s="2"/>
      <c r="G172" s="2"/>
      <c r="H172" s="2"/>
      <c r="I172" s="2"/>
      <c r="J172" s="2"/>
      <c r="K172" s="2"/>
      <c r="L172" s="2"/>
      <c r="M172" s="2"/>
      <c r="N172" s="2"/>
      <c r="O172" s="2"/>
      <c r="R172" s="2"/>
      <c r="S172" s="2"/>
      <c r="T172" s="2"/>
      <c r="U172" s="2"/>
    </row>
    <row r="173" spans="2:21" x14ac:dyDescent="0.25">
      <c r="F173" s="2"/>
      <c r="L173" s="2"/>
      <c r="M173" s="2"/>
      <c r="N173" s="2"/>
      <c r="O173" s="2"/>
      <c r="R173" s="2"/>
      <c r="S173" s="2"/>
      <c r="T173" s="2"/>
      <c r="U173" s="2"/>
    </row>
    <row r="174" spans="2:21" x14ac:dyDescent="0.25">
      <c r="L174" s="2"/>
      <c r="M174" s="2"/>
      <c r="N174" s="2"/>
      <c r="R174" s="2"/>
      <c r="S174" s="2"/>
      <c r="T174" s="2"/>
    </row>
  </sheetData>
  <sheetProtection algorithmName="SHA-512" hashValue="N1cyjt6rd3wukynn2ASsO+hzRXp2qo+EMwbK2hD+bX9AvL4054iG+PuHO0F+j1jg8NN8SzAH1Uerec4aNg1XqA==" saltValue="orGekpw42DFIq9bLovVpKQ==" spinCount="100000" sheet="1" objects="1" scenarios="1" selectLockedCells="1" selectUnlockedCells="1"/>
  <mergeCells count="42">
    <mergeCell ref="AE8:AI8"/>
    <mergeCell ref="AK8:AL8"/>
    <mergeCell ref="V6:AC6"/>
    <mergeCell ref="AE6:AL6"/>
    <mergeCell ref="V8:Z8"/>
    <mergeCell ref="AB8:AC8"/>
    <mergeCell ref="C10:E10"/>
    <mergeCell ref="B10:B14"/>
    <mergeCell ref="B3:U3"/>
    <mergeCell ref="P10:Q10"/>
    <mergeCell ref="G10:H10"/>
    <mergeCell ref="J10:K10"/>
    <mergeCell ref="M10:N10"/>
    <mergeCell ref="S10:T10"/>
    <mergeCell ref="B8:E8"/>
    <mergeCell ref="G8:N8"/>
    <mergeCell ref="P8:T8"/>
    <mergeCell ref="B29:B31"/>
    <mergeCell ref="C29:E29"/>
    <mergeCell ref="G28:N30"/>
    <mergeCell ref="H25:N25"/>
    <mergeCell ref="AQ21:AR21"/>
    <mergeCell ref="AP31:AR31"/>
    <mergeCell ref="B26:B27"/>
    <mergeCell ref="C26:E26"/>
    <mergeCell ref="G24:G25"/>
    <mergeCell ref="V24:AC24"/>
    <mergeCell ref="AQ32:AR32"/>
    <mergeCell ref="AQ33:AR33"/>
    <mergeCell ref="AE24:AL24"/>
    <mergeCell ref="AK10:AL11"/>
    <mergeCell ref="H24:N24"/>
    <mergeCell ref="AQ12:AR12"/>
    <mergeCell ref="AP10:AR10"/>
    <mergeCell ref="AQ11:AR11"/>
    <mergeCell ref="AP19:AR19"/>
    <mergeCell ref="AQ20:AR20"/>
    <mergeCell ref="AH10:AI11"/>
    <mergeCell ref="AE10:AF11"/>
    <mergeCell ref="AB10:AC11"/>
    <mergeCell ref="Y10:Z11"/>
    <mergeCell ref="V10:W11"/>
  </mergeCells>
  <phoneticPr fontId="28" type="noConversion"/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Disclaimer</vt:lpstr>
      <vt:lpstr>Dimensionamento</vt:lpstr>
      <vt:lpstr>Gomos</vt:lpstr>
      <vt:lpstr>Gabarito</vt:lpstr>
      <vt:lpstr>Vent Hole</vt:lpstr>
      <vt:lpstr>Cordins</vt:lpstr>
      <vt:lpstr>Escalas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2025-10-26T01:00:56Z</dcterms:modified>
  <cp:category/>
  <cp:contentStatus/>
</cp:coreProperties>
</file>